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d.docs.live.net/51c32fb62abe55b7/Escritorio/GANANCIAS 4ta Cat/2024/MARCIPAR^J SEMINO Y TISCORNIA 2024/2024 10 11/"/>
    </mc:Choice>
  </mc:AlternateContent>
  <xr:revisionPtr revIDLastSave="142" documentId="8_{1992F956-62A9-4CD3-81BD-8E1A949096CB}" xr6:coauthVersionLast="47" xr6:coauthVersionMax="47" xr10:uidLastSave="{5BED3B2C-1AFD-4E6D-8633-875AF4BF4F68}"/>
  <bookViews>
    <workbookView xWindow="-108" yWindow="-108" windowWidth="23256" windowHeight="12456" tabRatio="681" xr2:uid="{00000000-000D-0000-FFFF-FFFF00000000}"/>
  </bookViews>
  <sheets>
    <sheet name="Parametros" sheetId="4" r:id="rId1"/>
    <sheet name="Tablas" sheetId="3" r:id="rId2"/>
    <sheet name="Deducciones" sheetId="1" r:id="rId3"/>
    <sheet name="Ingresos y Liquidacion" sheetId="2" r:id="rId4"/>
    <sheet name="F.1359 vista previa" sheetId="5" r:id="rId5"/>
    <sheet name="txt F.1359" sheetId="6" r:id="rId6"/>
    <sheet name="F.1359 Generado"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J49" i="3" l="1"/>
  <c r="AJ50" i="3" s="1"/>
  <c r="AM48" i="3"/>
  <c r="AM49" i="3" s="1"/>
  <c r="AJ48" i="3"/>
  <c r="AK48" i="3" s="1"/>
  <c r="AG48" i="3"/>
  <c r="AG49" i="3" s="1"/>
  <c r="AD48" i="3"/>
  <c r="AE48" i="3" s="1"/>
  <c r="AA48" i="3"/>
  <c r="AA49" i="3" s="1"/>
  <c r="AK47" i="3"/>
  <c r="AJ47" i="3"/>
  <c r="AH47" i="3"/>
  <c r="AG47" i="3"/>
  <c r="AE47" i="3"/>
  <c r="AD47" i="3"/>
  <c r="AB47" i="3"/>
  <c r="AA47" i="3"/>
  <c r="L21" i="3"/>
  <c r="M21" i="3" s="1"/>
  <c r="N21" i="3" s="1"/>
  <c r="O21" i="3" s="1"/>
  <c r="L20" i="3"/>
  <c r="M20" i="3" s="1"/>
  <c r="N20" i="3" s="1"/>
  <c r="O20" i="3" s="1"/>
  <c r="L19" i="3"/>
  <c r="M19" i="3" s="1"/>
  <c r="N19" i="3" s="1"/>
  <c r="O19" i="3" s="1"/>
  <c r="L18" i="3"/>
  <c r="M18" i="3" s="1"/>
  <c r="N18" i="3" s="1"/>
  <c r="O18" i="3" s="1"/>
  <c r="L17" i="3"/>
  <c r="M17" i="3" s="1"/>
  <c r="N17" i="3" s="1"/>
  <c r="O17" i="3" s="1"/>
  <c r="AA50" i="3" l="1"/>
  <c r="AG50" i="3"/>
  <c r="AM50" i="3"/>
  <c r="AN49" i="3"/>
  <c r="AK50" i="3"/>
  <c r="AJ51" i="3"/>
  <c r="AN48" i="3"/>
  <c r="AD49" i="3"/>
  <c r="AH48" i="3"/>
  <c r="AH49" i="3" s="1"/>
  <c r="AB48" i="3"/>
  <c r="AB49" i="3" s="1"/>
  <c r="AK49" i="3"/>
  <c r="P5" i="3"/>
  <c r="D84" i="2"/>
  <c r="P249" i="2"/>
  <c r="P248" i="2"/>
  <c r="P247" i="2"/>
  <c r="P246" i="2"/>
  <c r="P245" i="2"/>
  <c r="P238" i="2"/>
  <c r="P237" i="2"/>
  <c r="P236" i="2"/>
  <c r="P228" i="2"/>
  <c r="P226" i="2"/>
  <c r="P223" i="2"/>
  <c r="Y47" i="3"/>
  <c r="X47" i="3"/>
  <c r="V47" i="3"/>
  <c r="U47" i="3"/>
  <c r="S47" i="3"/>
  <c r="R47" i="3"/>
  <c r="P47" i="3"/>
  <c r="O47" i="3"/>
  <c r="M47" i="3"/>
  <c r="L47" i="3"/>
  <c r="J47" i="3"/>
  <c r="I47" i="3"/>
  <c r="G47" i="3"/>
  <c r="F47" i="3"/>
  <c r="C48" i="3"/>
  <c r="AK51" i="3" l="1"/>
  <c r="AJ52" i="3"/>
  <c r="AE49" i="3"/>
  <c r="AD50" i="3"/>
  <c r="AM51" i="3"/>
  <c r="AN50" i="3"/>
  <c r="AG51" i="3"/>
  <c r="AH50" i="3"/>
  <c r="AA51" i="3"/>
  <c r="AB50" i="3"/>
  <c r="D48" i="3"/>
  <c r="C49" i="3"/>
  <c r="C50" i="3" s="1"/>
  <c r="C51" i="3" s="1"/>
  <c r="C52" i="3" s="1"/>
  <c r="C53" i="3" s="1"/>
  <c r="C54" i="3" s="1"/>
  <c r="C55" i="3" s="1"/>
  <c r="O48" i="3"/>
  <c r="X48" i="3"/>
  <c r="R48" i="3"/>
  <c r="F48" i="3"/>
  <c r="I48" i="3"/>
  <c r="L48" i="3"/>
  <c r="L49" i="3" s="1"/>
  <c r="L50" i="3" s="1"/>
  <c r="L51" i="3" s="1"/>
  <c r="L52" i="3" s="1"/>
  <c r="L53" i="3" s="1"/>
  <c r="L54" i="3" s="1"/>
  <c r="L55" i="3" s="1"/>
  <c r="U48" i="3"/>
  <c r="M48" i="3"/>
  <c r="M49" i="3" s="1"/>
  <c r="M50" i="3" s="1"/>
  <c r="M51" i="3" s="1"/>
  <c r="M52" i="3" s="1"/>
  <c r="M53" i="3" s="1"/>
  <c r="M54" i="3" s="1"/>
  <c r="M55" i="3" s="1"/>
  <c r="D49" i="3"/>
  <c r="D21" i="3"/>
  <c r="D19" i="3"/>
  <c r="D18" i="3"/>
  <c r="D17" i="3"/>
  <c r="AN51" i="3" l="1"/>
  <c r="AM52" i="3"/>
  <c r="AE50" i="3"/>
  <c r="AD51" i="3"/>
  <c r="AK52" i="3"/>
  <c r="AJ53" i="3"/>
  <c r="AG52" i="3"/>
  <c r="AH51" i="3"/>
  <c r="AB51" i="3"/>
  <c r="AA52" i="3"/>
  <c r="E18" i="3"/>
  <c r="L323" i="2"/>
  <c r="D20" i="3"/>
  <c r="D327" i="2" s="1"/>
  <c r="D329" i="2"/>
  <c r="D323" i="2"/>
  <c r="D324" i="2" s="1"/>
  <c r="J48" i="3"/>
  <c r="I49" i="3"/>
  <c r="S48" i="3"/>
  <c r="R49" i="3"/>
  <c r="R50" i="3" s="1"/>
  <c r="F49" i="3"/>
  <c r="F50" i="3" s="1"/>
  <c r="F51" i="3" s="1"/>
  <c r="F52" i="3" s="1"/>
  <c r="F53" i="3" s="1"/>
  <c r="F54" i="3" s="1"/>
  <c r="F55" i="3" s="1"/>
  <c r="G48" i="3"/>
  <c r="G49" i="3" s="1"/>
  <c r="G50" i="3" s="1"/>
  <c r="G51" i="3" s="1"/>
  <c r="G52" i="3" s="1"/>
  <c r="G53" i="3" s="1"/>
  <c r="G54" i="3" s="1"/>
  <c r="G55" i="3" s="1"/>
  <c r="U49" i="3"/>
  <c r="U50" i="3" s="1"/>
  <c r="U51" i="3" s="1"/>
  <c r="U52" i="3" s="1"/>
  <c r="U53" i="3" s="1"/>
  <c r="U54" i="3" s="1"/>
  <c r="U55" i="3" s="1"/>
  <c r="V48" i="3"/>
  <c r="X49" i="3"/>
  <c r="X50" i="3" s="1"/>
  <c r="X51" i="3" s="1"/>
  <c r="X52" i="3" s="1"/>
  <c r="X53" i="3" s="1"/>
  <c r="X54" i="3" s="1"/>
  <c r="X55" i="3" s="1"/>
  <c r="Y48" i="3"/>
  <c r="Y49" i="3" s="1"/>
  <c r="Y50" i="3" s="1"/>
  <c r="Y51" i="3" s="1"/>
  <c r="Y52" i="3" s="1"/>
  <c r="Y53" i="3" s="1"/>
  <c r="Y54" i="3" s="1"/>
  <c r="Y55" i="3" s="1"/>
  <c r="O49" i="3"/>
  <c r="O50" i="3" s="1"/>
  <c r="O51" i="3" s="1"/>
  <c r="O52" i="3" s="1"/>
  <c r="O53" i="3" s="1"/>
  <c r="O54" i="3" s="1"/>
  <c r="O55" i="3" s="1"/>
  <c r="P48" i="3"/>
  <c r="E21" i="3"/>
  <c r="E329" i="2" s="1"/>
  <c r="D50" i="3"/>
  <c r="D230" i="2"/>
  <c r="D232" i="2"/>
  <c r="D231" i="2"/>
  <c r="D321" i="2"/>
  <c r="D322" i="2" s="1"/>
  <c r="E19" i="3"/>
  <c r="D325" i="2"/>
  <c r="E17" i="3"/>
  <c r="Q215" i="2"/>
  <c r="T215" i="2"/>
  <c r="A106" i="2"/>
  <c r="A107" i="2"/>
  <c r="A105" i="2"/>
  <c r="A87" i="2"/>
  <c r="A88" i="2"/>
  <c r="A86" i="2"/>
  <c r="T113" i="2"/>
  <c r="T111" i="2"/>
  <c r="B17" i="4"/>
  <c r="AA53" i="3" l="1"/>
  <c r="AB52" i="3"/>
  <c r="AN52" i="3"/>
  <c r="AM53" i="3"/>
  <c r="AG53" i="3"/>
  <c r="AH52" i="3"/>
  <c r="AJ54" i="3"/>
  <c r="AK53" i="3"/>
  <c r="AD52" i="3"/>
  <c r="AE51" i="3"/>
  <c r="E20" i="3"/>
  <c r="S49" i="3"/>
  <c r="F18" i="3"/>
  <c r="E323" i="2"/>
  <c r="P49" i="3"/>
  <c r="P50" i="3" s="1"/>
  <c r="P51" i="3" s="1"/>
  <c r="P52" i="3" s="1"/>
  <c r="P53" i="3" s="1"/>
  <c r="P54" i="3" s="1"/>
  <c r="P55" i="3" s="1"/>
  <c r="V49" i="3"/>
  <c r="V50" i="3" s="1"/>
  <c r="V51" i="3" s="1"/>
  <c r="V52" i="3" s="1"/>
  <c r="V53" i="3" s="1"/>
  <c r="V54" i="3" s="1"/>
  <c r="V55" i="3" s="1"/>
  <c r="R51" i="3"/>
  <c r="S50" i="3"/>
  <c r="J49" i="3"/>
  <c r="I50" i="3"/>
  <c r="F21" i="3"/>
  <c r="F329" i="2" s="1"/>
  <c r="D51" i="3"/>
  <c r="J308" i="2"/>
  <c r="E231" i="2"/>
  <c r="E230" i="2"/>
  <c r="E232" i="2"/>
  <c r="E321" i="2"/>
  <c r="E322" i="2" s="1"/>
  <c r="F17" i="3"/>
  <c r="F19" i="3"/>
  <c r="E325" i="2"/>
  <c r="F20" i="3"/>
  <c r="E327" i="2"/>
  <c r="B19" i="4"/>
  <c r="J311" i="2" s="1"/>
  <c r="J313" i="2" s="1"/>
  <c r="A19" i="4"/>
  <c r="C19" i="4" s="1"/>
  <c r="B18" i="4"/>
  <c r="T298" i="2" s="1"/>
  <c r="AJ55" i="3" l="1"/>
  <c r="AK54" i="3"/>
  <c r="AH53" i="3"/>
  <c r="AG54" i="3"/>
  <c r="AM54" i="3"/>
  <c r="AN53" i="3"/>
  <c r="AD53" i="3"/>
  <c r="AE52" i="3"/>
  <c r="AA54" i="3"/>
  <c r="AB53" i="3"/>
  <c r="G18" i="3"/>
  <c r="F323" i="2"/>
  <c r="R52" i="3"/>
  <c r="R53" i="3" s="1"/>
  <c r="R54" i="3" s="1"/>
  <c r="R55" i="3" s="1"/>
  <c r="S51" i="3"/>
  <c r="J50" i="3"/>
  <c r="I51" i="3"/>
  <c r="G21" i="3"/>
  <c r="H21" i="3" s="1"/>
  <c r="D52" i="3"/>
  <c r="G20" i="3"/>
  <c r="F327" i="2"/>
  <c r="G19" i="3"/>
  <c r="F325" i="2"/>
  <c r="G17" i="3"/>
  <c r="F231" i="2"/>
  <c r="F230" i="2"/>
  <c r="F321" i="2"/>
  <c r="F322" i="2" s="1"/>
  <c r="F232" i="2"/>
  <c r="N27" i="3"/>
  <c r="O27" i="3" s="1"/>
  <c r="E27" i="3"/>
  <c r="AN54" i="3" l="1"/>
  <c r="AM55" i="3"/>
  <c r="AG55" i="3"/>
  <c r="AH54" i="3"/>
  <c r="AD54" i="3"/>
  <c r="AE53" i="3"/>
  <c r="AA55" i="3"/>
  <c r="AB54" i="3"/>
  <c r="AK55" i="3"/>
  <c r="H18" i="3"/>
  <c r="G323" i="2"/>
  <c r="I52" i="3"/>
  <c r="I53" i="3" s="1"/>
  <c r="I54" i="3" s="1"/>
  <c r="I55" i="3" s="1"/>
  <c r="J51" i="3"/>
  <c r="J52" i="3" s="1"/>
  <c r="J53" i="3" s="1"/>
  <c r="J54" i="3" s="1"/>
  <c r="J55" i="3" s="1"/>
  <c r="G231" i="2"/>
  <c r="S52" i="3"/>
  <c r="S53" i="3" s="1"/>
  <c r="S54" i="3" s="1"/>
  <c r="S55" i="3" s="1"/>
  <c r="G329" i="2"/>
  <c r="D53" i="3"/>
  <c r="I21" i="3"/>
  <c r="H329" i="2"/>
  <c r="H17" i="3"/>
  <c r="G230" i="2"/>
  <c r="G321" i="2"/>
  <c r="G322" i="2" s="1"/>
  <c r="H19" i="3"/>
  <c r="G325" i="2"/>
  <c r="G232" i="2"/>
  <c r="H20" i="3"/>
  <c r="G327" i="2"/>
  <c r="S301" i="2"/>
  <c r="AE54" i="3" l="1"/>
  <c r="AD55" i="3"/>
  <c r="AE55" i="3" s="1"/>
  <c r="AH55" i="3"/>
  <c r="AN55" i="3"/>
  <c r="AB55" i="3"/>
  <c r="I18" i="3"/>
  <c r="H323" i="2"/>
  <c r="H230" i="2"/>
  <c r="D54" i="3"/>
  <c r="J21" i="3"/>
  <c r="I329" i="2"/>
  <c r="I19" i="3"/>
  <c r="H325" i="2"/>
  <c r="I20" i="3"/>
  <c r="H327" i="2"/>
  <c r="I17" i="3"/>
  <c r="H321" i="2"/>
  <c r="H231" i="2"/>
  <c r="H232" i="2"/>
  <c r="I232" i="2" s="1"/>
  <c r="S302" i="2"/>
  <c r="S306" i="2"/>
  <c r="J18" i="3" l="1"/>
  <c r="I323" i="2"/>
  <c r="K21" i="3"/>
  <c r="J329" i="2"/>
  <c r="D55" i="3"/>
  <c r="J17" i="3"/>
  <c r="I231" i="2"/>
  <c r="I321" i="2"/>
  <c r="I230" i="2"/>
  <c r="J20" i="3"/>
  <c r="I327" i="2"/>
  <c r="J19" i="3"/>
  <c r="I325" i="2"/>
  <c r="S307" i="2"/>
  <c r="E246" i="2"/>
  <c r="F246" i="2"/>
  <c r="G246" i="2"/>
  <c r="H246" i="2"/>
  <c r="I246" i="2"/>
  <c r="J246" i="2"/>
  <c r="K246" i="2"/>
  <c r="L246" i="2"/>
  <c r="M246" i="2"/>
  <c r="N246" i="2"/>
  <c r="O246" i="2"/>
  <c r="D246" i="2"/>
  <c r="E245" i="2"/>
  <c r="F245" i="2"/>
  <c r="G245" i="2"/>
  <c r="H245" i="2"/>
  <c r="I245" i="2"/>
  <c r="J245" i="2"/>
  <c r="K245" i="2"/>
  <c r="L245" i="2"/>
  <c r="M245" i="2"/>
  <c r="N245" i="2"/>
  <c r="O245" i="2"/>
  <c r="D245" i="2"/>
  <c r="A246" i="2"/>
  <c r="A245" i="2"/>
  <c r="P21" i="1"/>
  <c r="P20" i="1"/>
  <c r="A89" i="2"/>
  <c r="E163" i="2"/>
  <c r="F163" i="2"/>
  <c r="G163" i="2"/>
  <c r="H163" i="2"/>
  <c r="I163" i="2"/>
  <c r="J163" i="2"/>
  <c r="K163" i="2"/>
  <c r="L163" i="2"/>
  <c r="M163" i="2"/>
  <c r="N163" i="2"/>
  <c r="O163" i="2"/>
  <c r="D163" i="2"/>
  <c r="E132" i="2"/>
  <c r="F132" i="2"/>
  <c r="G132" i="2"/>
  <c r="H132" i="2"/>
  <c r="I132" i="2"/>
  <c r="J132" i="2"/>
  <c r="K132" i="2"/>
  <c r="L132" i="2"/>
  <c r="M132" i="2"/>
  <c r="N132" i="2"/>
  <c r="O132" i="2"/>
  <c r="D132" i="2"/>
  <c r="D69" i="2"/>
  <c r="K18" i="3" l="1"/>
  <c r="J323" i="2"/>
  <c r="K329" i="2"/>
  <c r="K20" i="3"/>
  <c r="J327" i="2"/>
  <c r="K19" i="3"/>
  <c r="J325" i="2"/>
  <c r="K17" i="3"/>
  <c r="J321" i="2"/>
  <c r="J231" i="2"/>
  <c r="J230" i="2"/>
  <c r="J232" i="2"/>
  <c r="J295" i="2"/>
  <c r="R313" i="2"/>
  <c r="R284" i="2"/>
  <c r="P132" i="2"/>
  <c r="E30" i="3"/>
  <c r="F30" i="3" s="1"/>
  <c r="K323" i="2" l="1"/>
  <c r="L329" i="2"/>
  <c r="K321" i="2"/>
  <c r="K230" i="2"/>
  <c r="K231" i="2"/>
  <c r="K325" i="2"/>
  <c r="K232" i="2"/>
  <c r="K327" i="2"/>
  <c r="K295" i="2"/>
  <c r="G30" i="3"/>
  <c r="H30" i="3" s="1"/>
  <c r="I30" i="3" s="1"/>
  <c r="J30" i="3" s="1"/>
  <c r="K30" i="3" s="1"/>
  <c r="L30" i="3" s="1"/>
  <c r="M323" i="2" l="1"/>
  <c r="L232" i="2"/>
  <c r="M329" i="2"/>
  <c r="L325" i="2"/>
  <c r="L327" i="2"/>
  <c r="L321" i="2"/>
  <c r="L230" i="2"/>
  <c r="L231" i="2"/>
  <c r="L295" i="2"/>
  <c r="M30" i="3"/>
  <c r="N30" i="3" s="1"/>
  <c r="O30" i="3" s="1"/>
  <c r="P306" i="2"/>
  <c r="R306" i="2"/>
  <c r="R301" i="2"/>
  <c r="N323" i="2" l="1"/>
  <c r="N329" i="2"/>
  <c r="M327" i="2"/>
  <c r="M325" i="2"/>
  <c r="M321" i="2"/>
  <c r="M230" i="2"/>
  <c r="M231" i="2"/>
  <c r="M232" i="2"/>
  <c r="M295" i="2"/>
  <c r="D68" i="2"/>
  <c r="P323" i="2" l="1"/>
  <c r="R279" i="2" s="1"/>
  <c r="O323" i="2"/>
  <c r="N231" i="2"/>
  <c r="O329" i="2"/>
  <c r="P329" i="2"/>
  <c r="R282" i="2" s="1"/>
  <c r="N325" i="2"/>
  <c r="N321" i="2"/>
  <c r="N230" i="2"/>
  <c r="N232" i="2"/>
  <c r="N327" i="2"/>
  <c r="N295" i="2"/>
  <c r="D233" i="2"/>
  <c r="Q229" i="2"/>
  <c r="Q227" i="2"/>
  <c r="Q225" i="2"/>
  <c r="Q224" i="2"/>
  <c r="Q222" i="2"/>
  <c r="Q214" i="2"/>
  <c r="K372" i="2"/>
  <c r="L372" i="2"/>
  <c r="M372" i="2"/>
  <c r="N372" i="2"/>
  <c r="J372" i="2"/>
  <c r="E372" i="2"/>
  <c r="F372" i="2"/>
  <c r="G372" i="2"/>
  <c r="H372" i="2"/>
  <c r="D372" i="2"/>
  <c r="P7" i="3" l="1"/>
  <c r="P14" i="3"/>
  <c r="O327" i="2"/>
  <c r="P327" i="2"/>
  <c r="R281" i="2" s="1"/>
  <c r="P8" i="3"/>
  <c r="O321" i="2"/>
  <c r="P321" i="2"/>
  <c r="R278" i="2" s="1"/>
  <c r="O232" i="2"/>
  <c r="P232" i="2" s="1"/>
  <c r="O231" i="2"/>
  <c r="P231" i="2" s="1"/>
  <c r="O230" i="2"/>
  <c r="P230" i="2" s="1"/>
  <c r="O325" i="2"/>
  <c r="P325" i="2"/>
  <c r="R280" i="2" s="1"/>
  <c r="O295" i="2"/>
  <c r="O372" i="2"/>
  <c r="E233" i="2"/>
  <c r="F233" i="2" s="1"/>
  <c r="G233" i="2" s="1"/>
  <c r="I372" i="2"/>
  <c r="R283" i="2" l="1"/>
  <c r="P295" i="2"/>
  <c r="T296" i="2"/>
  <c r="H233" i="2"/>
  <c r="I233" i="2" s="1"/>
  <c r="J233" i="2" s="1"/>
  <c r="K233" i="2" s="1"/>
  <c r="L233" i="2" l="1"/>
  <c r="M233" i="2" l="1"/>
  <c r="N233" i="2" s="1"/>
  <c r="O233" i="2" s="1"/>
  <c r="P233" i="2" l="1"/>
  <c r="P19" i="1"/>
  <c r="P18" i="1"/>
  <c r="P17" i="1"/>
  <c r="P16" i="1"/>
  <c r="P15" i="1"/>
  <c r="P14" i="1"/>
  <c r="P13" i="1"/>
  <c r="P12" i="1"/>
  <c r="P11" i="1"/>
  <c r="P10" i="1"/>
  <c r="P9" i="1"/>
  <c r="P8" i="1"/>
  <c r="P7" i="1"/>
  <c r="P235" i="2" s="1"/>
  <c r="P6" i="1"/>
  <c r="P234" i="2" s="1"/>
  <c r="P5" i="1"/>
  <c r="P4" i="1"/>
  <c r="P3" i="1"/>
  <c r="P2" i="1"/>
  <c r="N271" i="2" l="1"/>
  <c r="K272" i="2"/>
  <c r="K274" i="2"/>
  <c r="O271" i="2" l="1"/>
  <c r="G271" i="2"/>
  <c r="H271" i="2"/>
  <c r="J271" i="2"/>
  <c r="F270" i="2"/>
  <c r="I271" i="2"/>
  <c r="K271" i="2"/>
  <c r="E271" i="2"/>
  <c r="M271" i="2"/>
  <c r="D271" i="2"/>
  <c r="L271" i="2"/>
  <c r="F271" i="2"/>
  <c r="L274" i="2"/>
  <c r="E274" i="2"/>
  <c r="M274" i="2"/>
  <c r="D274" i="2"/>
  <c r="K270" i="2"/>
  <c r="D141" i="2"/>
  <c r="I272" i="2"/>
  <c r="D270" i="2"/>
  <c r="L272" i="2"/>
  <c r="N274" i="2"/>
  <c r="E270" i="2"/>
  <c r="M272" i="2"/>
  <c r="O274" i="2"/>
  <c r="H272" i="2"/>
  <c r="L270" i="2"/>
  <c r="M270" i="2"/>
  <c r="F272" i="2"/>
  <c r="F274" i="2"/>
  <c r="D272" i="2"/>
  <c r="N272" i="2"/>
  <c r="E272" i="2"/>
  <c r="O272" i="2"/>
  <c r="N270" i="2"/>
  <c r="G272" i="2"/>
  <c r="G274" i="2"/>
  <c r="G270" i="2"/>
  <c r="O270" i="2"/>
  <c r="H270" i="2"/>
  <c r="H274" i="2"/>
  <c r="I270" i="2"/>
  <c r="I274" i="2"/>
  <c r="J270" i="2"/>
  <c r="J272" i="2"/>
  <c r="J274" i="2"/>
  <c r="A197" i="2"/>
  <c r="A108" i="2"/>
  <c r="A229" i="2"/>
  <c r="A198" i="2"/>
  <c r="A109" i="2"/>
  <c r="D170" i="2" l="1"/>
  <c r="E141" i="2"/>
  <c r="F141" i="2" l="1"/>
  <c r="E170" i="2"/>
  <c r="M1" i="2"/>
  <c r="O1" i="2"/>
  <c r="F170" i="2" l="1"/>
  <c r="G141" i="2"/>
  <c r="D108" i="2"/>
  <c r="D107" i="2"/>
  <c r="D106" i="2"/>
  <c r="D105" i="2"/>
  <c r="D41" i="3"/>
  <c r="E40" i="3"/>
  <c r="F40" i="3" s="1"/>
  <c r="G40" i="3" s="1"/>
  <c r="H40" i="3" s="1"/>
  <c r="I40" i="3" s="1"/>
  <c r="J40" i="3" s="1"/>
  <c r="K40" i="3" s="1"/>
  <c r="L40" i="3" s="1"/>
  <c r="M40" i="3" s="1"/>
  <c r="N40" i="3" s="1"/>
  <c r="O40" i="3" s="1"/>
  <c r="E39" i="3"/>
  <c r="F39" i="3" s="1"/>
  <c r="G39" i="3" s="1"/>
  <c r="H39" i="3" s="1"/>
  <c r="I39" i="3" s="1"/>
  <c r="J39" i="3" s="1"/>
  <c r="K39" i="3" s="1"/>
  <c r="L39" i="3" s="1"/>
  <c r="M39" i="3" s="1"/>
  <c r="N39" i="3" s="1"/>
  <c r="O39" i="3" s="1"/>
  <c r="E38" i="3"/>
  <c r="F38" i="3" s="1"/>
  <c r="G38" i="3" s="1"/>
  <c r="H38" i="3" s="1"/>
  <c r="I38" i="3" s="1"/>
  <c r="J38" i="3" s="1"/>
  <c r="K38" i="3" s="1"/>
  <c r="L38" i="3" s="1"/>
  <c r="M38" i="3" s="1"/>
  <c r="N38" i="3" s="1"/>
  <c r="O38" i="3" s="1"/>
  <c r="E37" i="3"/>
  <c r="F37" i="3" s="1"/>
  <c r="B180" i="2"/>
  <c r="B179" i="2"/>
  <c r="B175" i="2"/>
  <c r="B176" i="2"/>
  <c r="B171" i="2"/>
  <c r="B169" i="2"/>
  <c r="B168" i="2"/>
  <c r="B167" i="2"/>
  <c r="B164" i="2"/>
  <c r="B165" i="2"/>
  <c r="B166" i="2"/>
  <c r="B163" i="2"/>
  <c r="B170" i="2" s="1"/>
  <c r="B162" i="2"/>
  <c r="B161" i="2"/>
  <c r="B158" i="2"/>
  <c r="B157" i="2"/>
  <c r="B151" i="2"/>
  <c r="B152" i="2"/>
  <c r="B153" i="2"/>
  <c r="B150" i="2"/>
  <c r="B146" i="2"/>
  <c r="B147" i="2"/>
  <c r="B142" i="2"/>
  <c r="B140" i="2"/>
  <c r="B137" i="2"/>
  <c r="B138" i="2"/>
  <c r="B139" i="2"/>
  <c r="B136" i="2"/>
  <c r="B133" i="2"/>
  <c r="B134" i="2"/>
  <c r="B135" i="2"/>
  <c r="B132" i="2"/>
  <c r="B141" i="2" s="1"/>
  <c r="B131" i="2"/>
  <c r="B130" i="2"/>
  <c r="B129" i="2"/>
  <c r="B128" i="2"/>
  <c r="B127" i="2"/>
  <c r="B126" i="2"/>
  <c r="B125" i="2"/>
  <c r="B124" i="2"/>
  <c r="B56" i="2"/>
  <c r="B174" i="2" s="1"/>
  <c r="B55" i="2"/>
  <c r="B173" i="2" s="1"/>
  <c r="B54" i="2"/>
  <c r="B172" i="2" s="1"/>
  <c r="B27" i="2"/>
  <c r="B145" i="2" s="1"/>
  <c r="B26" i="2"/>
  <c r="B144" i="2" s="1"/>
  <c r="B25" i="2"/>
  <c r="B143" i="2" s="1"/>
  <c r="T245" i="2"/>
  <c r="T246" i="2"/>
  <c r="T247" i="2"/>
  <c r="T248" i="2"/>
  <c r="T249" i="2"/>
  <c r="T177" i="2"/>
  <c r="T178" i="2"/>
  <c r="T159" i="2"/>
  <c r="T160" i="2"/>
  <c r="G170" i="2" l="1"/>
  <c r="L108" i="2"/>
  <c r="H141" i="2"/>
  <c r="I141" i="2" s="1"/>
  <c r="O166" i="2"/>
  <c r="G166" i="2"/>
  <c r="N166" i="2"/>
  <c r="F166" i="2"/>
  <c r="M166" i="2"/>
  <c r="E166" i="2"/>
  <c r="L166" i="2"/>
  <c r="D166" i="2"/>
  <c r="K166" i="2"/>
  <c r="J166" i="2"/>
  <c r="I166" i="2"/>
  <c r="H166" i="2"/>
  <c r="K165" i="2"/>
  <c r="J165" i="2"/>
  <c r="I165" i="2"/>
  <c r="H165" i="2"/>
  <c r="O165" i="2"/>
  <c r="F165" i="2"/>
  <c r="M165" i="2"/>
  <c r="E165" i="2"/>
  <c r="L165" i="2"/>
  <c r="N165" i="2"/>
  <c r="G165" i="2"/>
  <c r="D165" i="2"/>
  <c r="O135" i="2"/>
  <c r="G135" i="2"/>
  <c r="N135" i="2"/>
  <c r="F135" i="2"/>
  <c r="M135" i="2"/>
  <c r="E135" i="2"/>
  <c r="D135" i="2"/>
  <c r="L135" i="2"/>
  <c r="K135" i="2"/>
  <c r="J135" i="2"/>
  <c r="I135" i="2"/>
  <c r="H135" i="2"/>
  <c r="K134" i="2"/>
  <c r="J134" i="2"/>
  <c r="I134" i="2"/>
  <c r="H134" i="2"/>
  <c r="O134" i="2"/>
  <c r="G134" i="2"/>
  <c r="N134" i="2"/>
  <c r="F134" i="2"/>
  <c r="M134" i="2"/>
  <c r="E134" i="2"/>
  <c r="L134" i="2"/>
  <c r="D134" i="2"/>
  <c r="J108" i="2"/>
  <c r="K108" i="2"/>
  <c r="M108" i="2"/>
  <c r="E108" i="2"/>
  <c r="N108" i="2"/>
  <c r="F108" i="2"/>
  <c r="G108" i="2"/>
  <c r="H108" i="2"/>
  <c r="G37" i="3"/>
  <c r="F41" i="3"/>
  <c r="E41" i="3"/>
  <c r="D191" i="2"/>
  <c r="P165" i="2" l="1"/>
  <c r="P166" i="2"/>
  <c r="P134" i="2"/>
  <c r="P135" i="2"/>
  <c r="J141" i="2"/>
  <c r="H170" i="2"/>
  <c r="G41" i="3"/>
  <c r="H37" i="3"/>
  <c r="K141" i="2" l="1"/>
  <c r="L141" i="2" s="1"/>
  <c r="M141" i="2" s="1"/>
  <c r="N141" i="2" s="1"/>
  <c r="O141" i="2" s="1"/>
  <c r="I170" i="2"/>
  <c r="J170" i="2" s="1"/>
  <c r="I37" i="3"/>
  <c r="H41" i="3"/>
  <c r="K170" i="2" l="1"/>
  <c r="L170" i="2" s="1"/>
  <c r="M170" i="2" s="1"/>
  <c r="N170" i="2" s="1"/>
  <c r="O170" i="2" s="1"/>
  <c r="J37" i="3"/>
  <c r="I41" i="3"/>
  <c r="K37" i="3" l="1"/>
  <c r="J41" i="3"/>
  <c r="D131" i="2"/>
  <c r="E131" i="2"/>
  <c r="F131" i="2"/>
  <c r="G131" i="2"/>
  <c r="H131" i="2"/>
  <c r="I131" i="2"/>
  <c r="J131" i="2"/>
  <c r="K131" i="2"/>
  <c r="L131" i="2"/>
  <c r="M131" i="2"/>
  <c r="N131" i="2"/>
  <c r="O131" i="2"/>
  <c r="E130" i="2"/>
  <c r="F130" i="2"/>
  <c r="G130" i="2"/>
  <c r="H130" i="2"/>
  <c r="I130" i="2"/>
  <c r="J130" i="2"/>
  <c r="K130" i="2"/>
  <c r="L130" i="2"/>
  <c r="M130" i="2"/>
  <c r="N130" i="2"/>
  <c r="O130" i="2"/>
  <c r="D130" i="2"/>
  <c r="C130" i="2"/>
  <c r="C131" i="2"/>
  <c r="C132" i="2"/>
  <c r="L37" i="3" l="1"/>
  <c r="K41" i="3"/>
  <c r="P131" i="2"/>
  <c r="T131" i="2" s="1"/>
  <c r="P130" i="2"/>
  <c r="T130" i="2" s="1"/>
  <c r="M37" i="3" l="1"/>
  <c r="L41" i="3"/>
  <c r="C151" i="2"/>
  <c r="C150" i="2"/>
  <c r="C134" i="2"/>
  <c r="C135" i="2"/>
  <c r="C133" i="2"/>
  <c r="C129" i="2"/>
  <c r="C128" i="2"/>
  <c r="C127" i="2"/>
  <c r="C126" i="2"/>
  <c r="C125" i="2"/>
  <c r="C124" i="2"/>
  <c r="O69" i="2"/>
  <c r="N69" i="2"/>
  <c r="M69" i="2"/>
  <c r="L69" i="2"/>
  <c r="K69" i="2"/>
  <c r="J69" i="2"/>
  <c r="I69" i="2"/>
  <c r="H69" i="2"/>
  <c r="G69" i="2"/>
  <c r="F69" i="2"/>
  <c r="E69" i="2"/>
  <c r="O68" i="2"/>
  <c r="N68" i="2"/>
  <c r="M68" i="2"/>
  <c r="L68" i="2"/>
  <c r="K68" i="2"/>
  <c r="J68" i="2"/>
  <c r="I68" i="2"/>
  <c r="H68" i="2"/>
  <c r="G68" i="2"/>
  <c r="F68" i="2"/>
  <c r="E68" i="2"/>
  <c r="C27" i="2"/>
  <c r="C26" i="2"/>
  <c r="C25" i="2"/>
  <c r="D83" i="2" s="1"/>
  <c r="D89" i="2" s="1"/>
  <c r="N83" i="2" l="1"/>
  <c r="N89" i="2" s="1"/>
  <c r="G83" i="2"/>
  <c r="G89" i="2" s="1"/>
  <c r="K83" i="2"/>
  <c r="K89" i="2" s="1"/>
  <c r="F83" i="2"/>
  <c r="F89" i="2" s="1"/>
  <c r="M83" i="2"/>
  <c r="M89" i="2" s="1"/>
  <c r="D361" i="2"/>
  <c r="L360" i="2"/>
  <c r="D360" i="2"/>
  <c r="K360" i="2"/>
  <c r="O360" i="2"/>
  <c r="J360" i="2"/>
  <c r="E360" i="2"/>
  <c r="I360" i="2"/>
  <c r="H360" i="2"/>
  <c r="G360" i="2"/>
  <c r="N360" i="2"/>
  <c r="F360" i="2"/>
  <c r="M360" i="2"/>
  <c r="N37" i="3"/>
  <c r="M41" i="3"/>
  <c r="L83" i="2"/>
  <c r="L89" i="2" s="1"/>
  <c r="O83" i="2"/>
  <c r="O89" i="2" s="1"/>
  <c r="J83" i="2"/>
  <c r="J89" i="2" s="1"/>
  <c r="H83" i="2"/>
  <c r="H89" i="2" s="1"/>
  <c r="I83" i="2"/>
  <c r="I89" i="2" s="1"/>
  <c r="E83" i="2"/>
  <c r="E89" i="2" s="1"/>
  <c r="D101" i="2" l="1"/>
  <c r="E361" i="2"/>
  <c r="O37" i="3"/>
  <c r="O41" i="3" s="1"/>
  <c r="N41" i="3"/>
  <c r="D346" i="2"/>
  <c r="E346" i="2" s="1"/>
  <c r="F346" i="2" s="1"/>
  <c r="G346" i="2" s="1"/>
  <c r="H346" i="2" s="1"/>
  <c r="I346" i="2" s="1"/>
  <c r="J346" i="2" s="1"/>
  <c r="K346" i="2" s="1"/>
  <c r="L346" i="2" s="1"/>
  <c r="M346" i="2" s="1"/>
  <c r="N346" i="2" s="1"/>
  <c r="O346" i="2" s="1"/>
  <c r="Q35" i="2"/>
  <c r="Q153" i="2" s="1"/>
  <c r="T153" i="2" s="1"/>
  <c r="P33" i="2"/>
  <c r="Q20" i="2"/>
  <c r="Q137" i="2" s="1"/>
  <c r="Q21" i="2"/>
  <c r="Q22" i="2"/>
  <c r="Q139" i="2" s="1"/>
  <c r="T139" i="2" s="1"/>
  <c r="D336" i="2"/>
  <c r="E336" i="2" s="1"/>
  <c r="F336" i="2" s="1"/>
  <c r="G336" i="2" s="1"/>
  <c r="H336" i="2" s="1"/>
  <c r="I336" i="2" s="1"/>
  <c r="J336" i="2" s="1"/>
  <c r="K336" i="2" s="1"/>
  <c r="L336" i="2" s="1"/>
  <c r="M336" i="2" s="1"/>
  <c r="N336" i="2" s="1"/>
  <c r="O336" i="2" s="1"/>
  <c r="E125" i="2"/>
  <c r="F125" i="2"/>
  <c r="G125" i="2"/>
  <c r="H125" i="2"/>
  <c r="I125" i="2"/>
  <c r="J125" i="2"/>
  <c r="K125" i="2"/>
  <c r="L125" i="2"/>
  <c r="M125" i="2"/>
  <c r="N125" i="2"/>
  <c r="O125" i="2"/>
  <c r="D125" i="2"/>
  <c r="P10" i="2"/>
  <c r="P8" i="2"/>
  <c r="E101" i="2" l="1"/>
  <c r="F361" i="2"/>
  <c r="D337" i="2"/>
  <c r="E337" i="2" s="1"/>
  <c r="F337" i="2" s="1"/>
  <c r="G337" i="2" s="1"/>
  <c r="D347" i="2"/>
  <c r="E347" i="2" s="1"/>
  <c r="F347" i="2" s="1"/>
  <c r="G347" i="2" s="1"/>
  <c r="P125" i="2"/>
  <c r="T125" i="2" s="1"/>
  <c r="G361" i="2" l="1"/>
  <c r="H347" i="2"/>
  <c r="I347" i="2" s="1"/>
  <c r="J347" i="2" s="1"/>
  <c r="K347" i="2" s="1"/>
  <c r="L347" i="2" s="1"/>
  <c r="M347" i="2" s="1"/>
  <c r="N347" i="2" s="1"/>
  <c r="O347" i="2" s="1"/>
  <c r="P346" i="2"/>
  <c r="P151" i="2" s="1"/>
  <c r="H337" i="2"/>
  <c r="I337" i="2" s="1"/>
  <c r="J337" i="2" s="1"/>
  <c r="K337" i="2" s="1"/>
  <c r="L337" i="2" s="1"/>
  <c r="M337" i="2" s="1"/>
  <c r="N337" i="2" s="1"/>
  <c r="O337" i="2" s="1"/>
  <c r="P336" i="2"/>
  <c r="P127" i="2" s="1"/>
  <c r="G101" i="2" l="1"/>
  <c r="F101" i="2"/>
  <c r="H361" i="2"/>
  <c r="E229" i="2"/>
  <c r="F229" i="2"/>
  <c r="G229" i="2"/>
  <c r="H229" i="2"/>
  <c r="J229" i="2"/>
  <c r="K229" i="2"/>
  <c r="L229" i="2"/>
  <c r="M229" i="2"/>
  <c r="N229" i="2"/>
  <c r="D229" i="2"/>
  <c r="E228" i="2"/>
  <c r="F228" i="2"/>
  <c r="G228" i="2"/>
  <c r="H228" i="2"/>
  <c r="I228" i="2"/>
  <c r="J228" i="2"/>
  <c r="K228" i="2"/>
  <c r="L228" i="2"/>
  <c r="M228" i="2"/>
  <c r="N228" i="2"/>
  <c r="O228" i="2"/>
  <c r="D228" i="2"/>
  <c r="E226" i="2"/>
  <c r="F226" i="2"/>
  <c r="G226" i="2"/>
  <c r="H226" i="2"/>
  <c r="I226" i="2"/>
  <c r="J226" i="2"/>
  <c r="K226" i="2"/>
  <c r="L226" i="2"/>
  <c r="M226" i="2"/>
  <c r="N226" i="2"/>
  <c r="O226" i="2"/>
  <c r="D226" i="2"/>
  <c r="E223" i="2"/>
  <c r="F223" i="2"/>
  <c r="G223" i="2"/>
  <c r="H223" i="2"/>
  <c r="I223" i="2"/>
  <c r="J223" i="2"/>
  <c r="K223" i="2"/>
  <c r="L223" i="2"/>
  <c r="M223" i="2"/>
  <c r="N223" i="2"/>
  <c r="O223" i="2"/>
  <c r="D223" i="2"/>
  <c r="D356" i="2"/>
  <c r="D357" i="2" s="1"/>
  <c r="T226" i="2" l="1"/>
  <c r="T223" i="2"/>
  <c r="T228" i="2"/>
  <c r="I361" i="2"/>
  <c r="E356" i="2"/>
  <c r="F356" i="2" s="1"/>
  <c r="G356" i="2" s="1"/>
  <c r="H356" i="2" s="1"/>
  <c r="I356" i="2" s="1"/>
  <c r="J356" i="2" s="1"/>
  <c r="K356" i="2" s="1"/>
  <c r="L356" i="2" s="1"/>
  <c r="M356" i="2" s="1"/>
  <c r="N356" i="2" s="1"/>
  <c r="O356" i="2" s="1"/>
  <c r="D354" i="2"/>
  <c r="D355" i="2" s="1"/>
  <c r="D352" i="2"/>
  <c r="E352" i="2" s="1"/>
  <c r="F352" i="2" s="1"/>
  <c r="G352" i="2" s="1"/>
  <c r="H352" i="2" s="1"/>
  <c r="I352" i="2" s="1"/>
  <c r="J352" i="2" s="1"/>
  <c r="K352" i="2" s="1"/>
  <c r="L352" i="2" s="1"/>
  <c r="M352" i="2" s="1"/>
  <c r="N352" i="2" s="1"/>
  <c r="O352" i="2" s="1"/>
  <c r="H101" i="2" l="1"/>
  <c r="J361" i="2"/>
  <c r="E354" i="2"/>
  <c r="F354" i="2" s="1"/>
  <c r="G354" i="2" s="1"/>
  <c r="H354" i="2" s="1"/>
  <c r="I354" i="2" s="1"/>
  <c r="J354" i="2" s="1"/>
  <c r="K354" i="2" s="1"/>
  <c r="L354" i="2" s="1"/>
  <c r="M354" i="2" s="1"/>
  <c r="N354" i="2" s="1"/>
  <c r="O354" i="2" s="1"/>
  <c r="E357" i="2"/>
  <c r="F357" i="2" s="1"/>
  <c r="G357" i="2" s="1"/>
  <c r="H357" i="2" s="1"/>
  <c r="I357" i="2" s="1"/>
  <c r="J357" i="2" s="1"/>
  <c r="K357" i="2" s="1"/>
  <c r="L357" i="2" s="1"/>
  <c r="M357" i="2" s="1"/>
  <c r="N357" i="2" s="1"/>
  <c r="O357" i="2" s="1"/>
  <c r="P356" i="2"/>
  <c r="P179" i="2" s="1"/>
  <c r="D353" i="2"/>
  <c r="E353" i="2" s="1"/>
  <c r="D350" i="2"/>
  <c r="D351" i="2" s="1"/>
  <c r="E162" i="2"/>
  <c r="F162" i="2"/>
  <c r="G162" i="2"/>
  <c r="H162" i="2"/>
  <c r="I162" i="2"/>
  <c r="J162" i="2"/>
  <c r="K162" i="2"/>
  <c r="L162" i="2"/>
  <c r="M162" i="2"/>
  <c r="N162" i="2"/>
  <c r="O162" i="2"/>
  <c r="D162" i="2"/>
  <c r="E161" i="2"/>
  <c r="F161" i="2"/>
  <c r="G161" i="2"/>
  <c r="H161" i="2"/>
  <c r="I161" i="2"/>
  <c r="J161" i="2"/>
  <c r="K161" i="2"/>
  <c r="L161" i="2"/>
  <c r="M161" i="2"/>
  <c r="N161" i="2"/>
  <c r="O161" i="2"/>
  <c r="D161" i="2"/>
  <c r="D348" i="2"/>
  <c r="D349" i="2" s="1"/>
  <c r="E157" i="2"/>
  <c r="F157" i="2"/>
  <c r="G157" i="2"/>
  <c r="H157" i="2"/>
  <c r="I157" i="2"/>
  <c r="J157" i="2"/>
  <c r="K157" i="2"/>
  <c r="L157" i="2"/>
  <c r="M157" i="2"/>
  <c r="N157" i="2"/>
  <c r="O157" i="2"/>
  <c r="D157" i="2"/>
  <c r="I101" i="2" l="1"/>
  <c r="K361" i="2"/>
  <c r="P157" i="2"/>
  <c r="T157" i="2" s="1"/>
  <c r="P162" i="2"/>
  <c r="T162" i="2" s="1"/>
  <c r="P161" i="2"/>
  <c r="T161" i="2" s="1"/>
  <c r="E348" i="2"/>
  <c r="F348" i="2" s="1"/>
  <c r="G348" i="2" s="1"/>
  <c r="H348" i="2" s="1"/>
  <c r="I348" i="2" s="1"/>
  <c r="J348" i="2" s="1"/>
  <c r="K348" i="2" s="1"/>
  <c r="L348" i="2" s="1"/>
  <c r="M348" i="2" s="1"/>
  <c r="N348" i="2" s="1"/>
  <c r="O348" i="2" s="1"/>
  <c r="E355" i="2"/>
  <c r="F355" i="2" s="1"/>
  <c r="G355" i="2" s="1"/>
  <c r="H355" i="2" s="1"/>
  <c r="I355" i="2" s="1"/>
  <c r="J355" i="2" s="1"/>
  <c r="K355" i="2" s="1"/>
  <c r="L355" i="2" s="1"/>
  <c r="M355" i="2" s="1"/>
  <c r="N355" i="2" s="1"/>
  <c r="O355" i="2" s="1"/>
  <c r="E350" i="2"/>
  <c r="F350" i="2" s="1"/>
  <c r="G350" i="2" s="1"/>
  <c r="H350" i="2" s="1"/>
  <c r="I350" i="2" s="1"/>
  <c r="J350" i="2" s="1"/>
  <c r="K350" i="2" s="1"/>
  <c r="L350" i="2" s="1"/>
  <c r="M350" i="2" s="1"/>
  <c r="N350" i="2" s="1"/>
  <c r="O350" i="2" s="1"/>
  <c r="P354" i="2"/>
  <c r="F353" i="2"/>
  <c r="P352" i="2"/>
  <c r="D344" i="2"/>
  <c r="E344" i="2" s="1"/>
  <c r="F344" i="2" s="1"/>
  <c r="G344" i="2" s="1"/>
  <c r="H344" i="2" s="1"/>
  <c r="I344" i="2" s="1"/>
  <c r="J344" i="2" s="1"/>
  <c r="K344" i="2" s="1"/>
  <c r="L344" i="2" s="1"/>
  <c r="M344" i="2" s="1"/>
  <c r="N344" i="2" s="1"/>
  <c r="O344" i="2" s="1"/>
  <c r="J101" i="2" l="1"/>
  <c r="L361" i="2"/>
  <c r="E349" i="2"/>
  <c r="F349" i="2" s="1"/>
  <c r="G349" i="2" s="1"/>
  <c r="H349" i="2" s="1"/>
  <c r="I349" i="2" s="1"/>
  <c r="J349" i="2" s="1"/>
  <c r="K349" i="2" s="1"/>
  <c r="L349" i="2" s="1"/>
  <c r="M349" i="2" s="1"/>
  <c r="N349" i="2" s="1"/>
  <c r="O349" i="2" s="1"/>
  <c r="E351" i="2"/>
  <c r="F351" i="2" s="1"/>
  <c r="G351" i="2" s="1"/>
  <c r="H351" i="2" s="1"/>
  <c r="I351" i="2" s="1"/>
  <c r="J351" i="2" s="1"/>
  <c r="K351" i="2" s="1"/>
  <c r="L351" i="2" s="1"/>
  <c r="M351" i="2" s="1"/>
  <c r="N351" i="2" s="1"/>
  <c r="O351" i="2" s="1"/>
  <c r="D345" i="2"/>
  <c r="E345" i="2" s="1"/>
  <c r="F345" i="2" s="1"/>
  <c r="G345" i="2" s="1"/>
  <c r="H345" i="2" s="1"/>
  <c r="I345" i="2" s="1"/>
  <c r="G353" i="2"/>
  <c r="P350" i="2"/>
  <c r="P348" i="2"/>
  <c r="P158" i="2" s="1"/>
  <c r="K101" i="2" l="1"/>
  <c r="M361" i="2"/>
  <c r="H353" i="2"/>
  <c r="P344" i="2"/>
  <c r="P150" i="2" s="1"/>
  <c r="J345" i="2"/>
  <c r="K345" i="2" s="1"/>
  <c r="L345" i="2" s="1"/>
  <c r="M345" i="2" s="1"/>
  <c r="N345" i="2" s="1"/>
  <c r="O345" i="2" s="1"/>
  <c r="L101" i="2" l="1"/>
  <c r="N361" i="2"/>
  <c r="I353" i="2"/>
  <c r="M101" i="2" l="1"/>
  <c r="O361" i="2"/>
  <c r="O101" i="2" s="1"/>
  <c r="J353" i="2"/>
  <c r="N101" i="2" l="1"/>
  <c r="K353" i="2"/>
  <c r="L353" i="2" l="1"/>
  <c r="M353" i="2" s="1"/>
  <c r="N353" i="2" s="1"/>
  <c r="O353" i="2" s="1"/>
  <c r="T132" i="2" l="1"/>
  <c r="P163" i="2" l="1"/>
  <c r="T163" i="2" s="1"/>
  <c r="Q141" i="2"/>
  <c r="T141" i="2" s="1"/>
  <c r="Q69" i="2"/>
  <c r="P68" i="2"/>
  <c r="Q62" i="2"/>
  <c r="Q180" i="2" s="1"/>
  <c r="T180" i="2" s="1"/>
  <c r="P61" i="2"/>
  <c r="Q51" i="2"/>
  <c r="Q168" i="2" s="1"/>
  <c r="T168" i="2" s="1"/>
  <c r="Q52" i="2"/>
  <c r="Q169" i="2" s="1"/>
  <c r="T169" i="2" s="1"/>
  <c r="Q53" i="2"/>
  <c r="Q171" i="2" s="1"/>
  <c r="T171" i="2" s="1"/>
  <c r="Q54" i="2"/>
  <c r="Q55" i="2"/>
  <c r="Q56" i="2"/>
  <c r="Q57" i="2"/>
  <c r="Q175" i="2" s="1"/>
  <c r="T175" i="2" s="1"/>
  <c r="Q58" i="2"/>
  <c r="Q176" i="2" s="1"/>
  <c r="T176" i="2" s="1"/>
  <c r="Q50" i="2"/>
  <c r="Q167" i="2" s="1"/>
  <c r="T167" i="2" s="1"/>
  <c r="P49" i="2"/>
  <c r="P43" i="2"/>
  <c r="P44" i="2"/>
  <c r="P45" i="2"/>
  <c r="P46" i="2"/>
  <c r="P47" i="2"/>
  <c r="P48" i="2"/>
  <c r="P42" i="2"/>
  <c r="Q170" i="2" l="1"/>
  <c r="T170" i="2" s="1"/>
  <c r="R70" i="2"/>
  <c r="E129" i="2"/>
  <c r="F129" i="2"/>
  <c r="G129" i="2"/>
  <c r="H129" i="2"/>
  <c r="I129" i="2"/>
  <c r="J129" i="2"/>
  <c r="K129" i="2"/>
  <c r="L129" i="2"/>
  <c r="M129" i="2"/>
  <c r="N129" i="2"/>
  <c r="O129" i="2"/>
  <c r="D129" i="2"/>
  <c r="D342" i="2"/>
  <c r="E342" i="2" s="1"/>
  <c r="F342" i="2" s="1"/>
  <c r="G342" i="2" s="1"/>
  <c r="H342" i="2" s="1"/>
  <c r="I342" i="2" s="1"/>
  <c r="J342" i="2" s="1"/>
  <c r="K342" i="2" s="1"/>
  <c r="L342" i="2" s="1"/>
  <c r="M342" i="2" s="1"/>
  <c r="N342" i="2" s="1"/>
  <c r="O342" i="2" s="1"/>
  <c r="D340" i="2"/>
  <c r="D341" i="2" s="1"/>
  <c r="D334" i="2"/>
  <c r="D335" i="2" s="1"/>
  <c r="P129" i="2" l="1"/>
  <c r="T129" i="2" s="1"/>
  <c r="D343" i="2"/>
  <c r="E343" i="2" s="1"/>
  <c r="F343" i="2" s="1"/>
  <c r="G343" i="2" s="1"/>
  <c r="H343" i="2" s="1"/>
  <c r="I343" i="2" s="1"/>
  <c r="J343" i="2" s="1"/>
  <c r="K343" i="2" s="1"/>
  <c r="L343" i="2" s="1"/>
  <c r="M343" i="2" s="1"/>
  <c r="N343" i="2" s="1"/>
  <c r="O343" i="2" s="1"/>
  <c r="E340" i="2"/>
  <c r="F340" i="2" s="1"/>
  <c r="G340" i="2" s="1"/>
  <c r="H340" i="2" s="1"/>
  <c r="I340" i="2" s="1"/>
  <c r="J340" i="2" s="1"/>
  <c r="K340" i="2" s="1"/>
  <c r="L340" i="2" s="1"/>
  <c r="M340" i="2" s="1"/>
  <c r="N340" i="2" s="1"/>
  <c r="O340" i="2" s="1"/>
  <c r="E334" i="2"/>
  <c r="F334" i="2" s="1"/>
  <c r="G334" i="2" s="1"/>
  <c r="H334" i="2" s="1"/>
  <c r="I334" i="2" s="1"/>
  <c r="J334" i="2" s="1"/>
  <c r="K334" i="2" s="1"/>
  <c r="L334" i="2" s="1"/>
  <c r="M334" i="2" s="1"/>
  <c r="N334" i="2" s="1"/>
  <c r="O334" i="2" s="1"/>
  <c r="E335" i="2" l="1"/>
  <c r="F335" i="2" s="1"/>
  <c r="G335" i="2" s="1"/>
  <c r="H335" i="2" s="1"/>
  <c r="I335" i="2" s="1"/>
  <c r="J335" i="2" s="1"/>
  <c r="K335" i="2" s="1"/>
  <c r="L335" i="2" s="1"/>
  <c r="M335" i="2" s="1"/>
  <c r="N335" i="2" s="1"/>
  <c r="O335" i="2" s="1"/>
  <c r="E341" i="2"/>
  <c r="F341" i="2" s="1"/>
  <c r="G341" i="2" s="1"/>
  <c r="H341" i="2" s="1"/>
  <c r="I341" i="2" s="1"/>
  <c r="J341" i="2" s="1"/>
  <c r="K341" i="2" s="1"/>
  <c r="L341" i="2" s="1"/>
  <c r="M341" i="2" s="1"/>
  <c r="N341" i="2" s="1"/>
  <c r="O341" i="2" s="1"/>
  <c r="P342" i="2"/>
  <c r="P340" i="2"/>
  <c r="P334" i="2"/>
  <c r="P126" i="2" s="1"/>
  <c r="Q34" i="2" l="1"/>
  <c r="Q152" i="2" s="1"/>
  <c r="T152" i="2" s="1"/>
  <c r="P32" i="2"/>
  <c r="Q23" i="2"/>
  <c r="Q140" i="2" s="1"/>
  <c r="T140" i="2" s="1"/>
  <c r="Q24" i="2"/>
  <c r="Q142" i="2" s="1"/>
  <c r="Q25" i="2"/>
  <c r="Q26" i="2"/>
  <c r="Q27" i="2"/>
  <c r="Q28" i="2"/>
  <c r="Q146" i="2" s="1"/>
  <c r="T146" i="2" s="1"/>
  <c r="Q29" i="2"/>
  <c r="Q147" i="2" s="1"/>
  <c r="T147" i="2" s="1"/>
  <c r="Q19" i="2"/>
  <c r="Q136" i="2" s="1"/>
  <c r="P9" i="2"/>
  <c r="P11" i="2"/>
  <c r="P12" i="2"/>
  <c r="P15" i="2"/>
  <c r="P16" i="2"/>
  <c r="P17" i="2"/>
  <c r="P18" i="2"/>
  <c r="P7" i="2"/>
  <c r="Q120" i="2"/>
  <c r="P120" i="2"/>
  <c r="D338" i="2"/>
  <c r="E338" i="2" s="1"/>
  <c r="F338" i="2" s="1"/>
  <c r="G338" i="2" s="1"/>
  <c r="H338" i="2" s="1"/>
  <c r="I338" i="2" s="1"/>
  <c r="J338" i="2" s="1"/>
  <c r="K338" i="2" s="1"/>
  <c r="L338" i="2" s="1"/>
  <c r="M338" i="2" s="1"/>
  <c r="N338" i="2" s="1"/>
  <c r="O338" i="2" s="1"/>
  <c r="Q138" i="2" l="1"/>
  <c r="T138" i="2" s="1"/>
  <c r="T137" i="2"/>
  <c r="T136" i="2"/>
  <c r="T142" i="2"/>
  <c r="E128" i="2"/>
  <c r="F128" i="2"/>
  <c r="G128" i="2"/>
  <c r="H128" i="2"/>
  <c r="I128" i="2"/>
  <c r="J128" i="2"/>
  <c r="K128" i="2"/>
  <c r="L128" i="2"/>
  <c r="M128" i="2"/>
  <c r="N128" i="2"/>
  <c r="O128" i="2"/>
  <c r="D128" i="2"/>
  <c r="O124" i="2"/>
  <c r="E124" i="2"/>
  <c r="F124" i="2"/>
  <c r="G124" i="2"/>
  <c r="H124" i="2"/>
  <c r="I124" i="2"/>
  <c r="J124" i="2"/>
  <c r="K124" i="2"/>
  <c r="L124" i="2"/>
  <c r="M124" i="2"/>
  <c r="N124" i="2"/>
  <c r="P128" i="2" l="1"/>
  <c r="T128" i="2" s="1"/>
  <c r="D124" i="2"/>
  <c r="A222" i="2"/>
  <c r="A224" i="2"/>
  <c r="A225" i="2"/>
  <c r="A227" i="2"/>
  <c r="D238" i="2"/>
  <c r="E238" i="2"/>
  <c r="F238" i="2"/>
  <c r="G238" i="2"/>
  <c r="H238" i="2"/>
  <c r="I238" i="2"/>
  <c r="J238" i="2"/>
  <c r="K238" i="2"/>
  <c r="L238" i="2"/>
  <c r="M238" i="2"/>
  <c r="N238" i="2"/>
  <c r="O238" i="2"/>
  <c r="D239" i="2"/>
  <c r="E239" i="2"/>
  <c r="F239" i="2"/>
  <c r="G239" i="2"/>
  <c r="H239" i="2"/>
  <c r="I239" i="2"/>
  <c r="J239" i="2"/>
  <c r="K239" i="2"/>
  <c r="L239" i="2"/>
  <c r="M239" i="2"/>
  <c r="N239" i="2"/>
  <c r="O239" i="2"/>
  <c r="D240" i="2"/>
  <c r="P240" i="2" s="1"/>
  <c r="E240" i="2"/>
  <c r="F240" i="2"/>
  <c r="G240" i="2"/>
  <c r="H240" i="2"/>
  <c r="I240" i="2"/>
  <c r="J240" i="2"/>
  <c r="K240" i="2"/>
  <c r="L240" i="2"/>
  <c r="M240" i="2"/>
  <c r="N240" i="2"/>
  <c r="O240" i="2"/>
  <c r="D241" i="2"/>
  <c r="E241" i="2"/>
  <c r="F241" i="2"/>
  <c r="G241" i="2"/>
  <c r="H241" i="2"/>
  <c r="I241" i="2"/>
  <c r="J241" i="2"/>
  <c r="K241" i="2"/>
  <c r="L241" i="2"/>
  <c r="M241" i="2"/>
  <c r="N241" i="2"/>
  <c r="O241" i="2"/>
  <c r="D242" i="2"/>
  <c r="P242" i="2" s="1"/>
  <c r="E242" i="2"/>
  <c r="F242" i="2"/>
  <c r="G242" i="2"/>
  <c r="H242" i="2"/>
  <c r="I242" i="2"/>
  <c r="J242" i="2"/>
  <c r="K242" i="2"/>
  <c r="L242" i="2"/>
  <c r="M242" i="2"/>
  <c r="N242" i="2"/>
  <c r="O242" i="2"/>
  <c r="D243" i="2"/>
  <c r="E243" i="2"/>
  <c r="F243" i="2"/>
  <c r="G243" i="2"/>
  <c r="H243" i="2"/>
  <c r="I243" i="2"/>
  <c r="J243" i="2"/>
  <c r="K243" i="2"/>
  <c r="L243" i="2"/>
  <c r="M243" i="2"/>
  <c r="N243" i="2"/>
  <c r="O243" i="2"/>
  <c r="D244" i="2"/>
  <c r="P244" i="2" s="1"/>
  <c r="E244" i="2"/>
  <c r="F244" i="2"/>
  <c r="G244" i="2"/>
  <c r="H244" i="2"/>
  <c r="I244" i="2"/>
  <c r="J244" i="2"/>
  <c r="K244" i="2"/>
  <c r="L244" i="2"/>
  <c r="M244" i="2"/>
  <c r="N244" i="2"/>
  <c r="O244" i="2"/>
  <c r="P243" i="2" l="1"/>
  <c r="P239" i="2"/>
  <c r="P241" i="2"/>
  <c r="T238" i="2"/>
  <c r="T244" i="2"/>
  <c r="T239" i="2"/>
  <c r="T241" i="2"/>
  <c r="D85" i="2"/>
  <c r="D219" i="2"/>
  <c r="P124" i="2"/>
  <c r="T124" i="2" s="1"/>
  <c r="T242" i="2"/>
  <c r="T240" i="2"/>
  <c r="E97" i="2"/>
  <c r="F97" i="2"/>
  <c r="G97" i="2"/>
  <c r="H97" i="2"/>
  <c r="I97" i="2"/>
  <c r="J97" i="2"/>
  <c r="K97" i="2"/>
  <c r="L97" i="2"/>
  <c r="M97" i="2"/>
  <c r="N97" i="2"/>
  <c r="O97" i="2"/>
  <c r="D97" i="2"/>
  <c r="C94" i="2"/>
  <c r="C93" i="2" s="1"/>
  <c r="M289" i="2" s="1"/>
  <c r="E65" i="2"/>
  <c r="E203" i="2" s="1"/>
  <c r="F65" i="2"/>
  <c r="F203" i="2" s="1"/>
  <c r="G65" i="2"/>
  <c r="G203" i="2" s="1"/>
  <c r="H65" i="2"/>
  <c r="H203" i="2" s="1"/>
  <c r="I65" i="2"/>
  <c r="I203" i="2" s="1"/>
  <c r="J65" i="2"/>
  <c r="J203" i="2" s="1"/>
  <c r="K65" i="2"/>
  <c r="K203" i="2" s="1"/>
  <c r="L65" i="2"/>
  <c r="L203" i="2" s="1"/>
  <c r="M65" i="2"/>
  <c r="M203" i="2" s="1"/>
  <c r="N65" i="2"/>
  <c r="N203" i="2" s="1"/>
  <c r="O65" i="2"/>
  <c r="O203" i="2" s="1"/>
  <c r="E38" i="2"/>
  <c r="F38" i="2"/>
  <c r="G38" i="2"/>
  <c r="H38" i="2"/>
  <c r="I38" i="2"/>
  <c r="J38" i="2"/>
  <c r="K38" i="2"/>
  <c r="L38" i="2"/>
  <c r="M38" i="2"/>
  <c r="N38" i="2"/>
  <c r="O38" i="2"/>
  <c r="E70" i="2"/>
  <c r="F70" i="2"/>
  <c r="G70" i="2"/>
  <c r="H70" i="2"/>
  <c r="I70" i="2"/>
  <c r="J70" i="2"/>
  <c r="K70" i="2"/>
  <c r="L70" i="2"/>
  <c r="M70" i="2"/>
  <c r="N70" i="2"/>
  <c r="O70" i="2"/>
  <c r="D70" i="2"/>
  <c r="D65" i="2"/>
  <c r="D203" i="2" s="1"/>
  <c r="D38" i="2"/>
  <c r="D133" i="2" s="1"/>
  <c r="T243" i="2" l="1"/>
  <c r="D150" i="2"/>
  <c r="E150" i="2" s="1"/>
  <c r="D179" i="2"/>
  <c r="E179" i="2" s="1"/>
  <c r="D151" i="2"/>
  <c r="E151" i="2" s="1"/>
  <c r="D164" i="2"/>
  <c r="D86" i="2"/>
  <c r="D88" i="2"/>
  <c r="D87" i="2"/>
  <c r="G289" i="2"/>
  <c r="L289" i="2"/>
  <c r="H289" i="2"/>
  <c r="K289" i="2"/>
  <c r="E289" i="2"/>
  <c r="O289" i="2"/>
  <c r="F289" i="2"/>
  <c r="N289" i="2"/>
  <c r="J289" i="2"/>
  <c r="D289" i="2"/>
  <c r="I289" i="2"/>
  <c r="D127" i="2"/>
  <c r="E127" i="2" s="1"/>
  <c r="D126" i="2"/>
  <c r="D218" i="2" s="1"/>
  <c r="D158" i="2"/>
  <c r="G73" i="2"/>
  <c r="N73" i="2"/>
  <c r="F73" i="2"/>
  <c r="O73" i="2"/>
  <c r="D73" i="2"/>
  <c r="K73" i="2"/>
  <c r="L73" i="2"/>
  <c r="I73" i="2"/>
  <c r="J73" i="2"/>
  <c r="E73" i="2"/>
  <c r="H73" i="2"/>
  <c r="M73" i="2"/>
  <c r="P290" i="2" l="1"/>
  <c r="E164" i="2"/>
  <c r="F164" i="2" s="1"/>
  <c r="O76" i="2"/>
  <c r="K76" i="2"/>
  <c r="L76" i="2"/>
  <c r="J76" i="2"/>
  <c r="N76" i="2"/>
  <c r="M76" i="2"/>
  <c r="H77" i="2"/>
  <c r="D77" i="2"/>
  <c r="L77" i="2"/>
  <c r="F77" i="2"/>
  <c r="O77" i="2"/>
  <c r="I77" i="2"/>
  <c r="K77" i="2"/>
  <c r="M77" i="2"/>
  <c r="N77" i="2"/>
  <c r="G77" i="2"/>
  <c r="J77" i="2"/>
  <c r="E77" i="2"/>
  <c r="I76" i="2"/>
  <c r="E76" i="2"/>
  <c r="I74" i="2"/>
  <c r="J74" i="2"/>
  <c r="E74" i="2"/>
  <c r="F74" i="2"/>
  <c r="O74" i="2"/>
  <c r="F76" i="2"/>
  <c r="N74" i="2"/>
  <c r="G76" i="2"/>
  <c r="K74" i="2"/>
  <c r="M74" i="2"/>
  <c r="H74" i="2"/>
  <c r="H76" i="2"/>
  <c r="L74" i="2"/>
  <c r="G74" i="2"/>
  <c r="F150" i="2"/>
  <c r="G150" i="2" s="1"/>
  <c r="F151" i="2"/>
  <c r="G151" i="2" s="1"/>
  <c r="F179" i="2"/>
  <c r="G179" i="2" s="1"/>
  <c r="D220" i="2"/>
  <c r="D183" i="2"/>
  <c r="F127" i="2"/>
  <c r="G127" i="2" s="1"/>
  <c r="H127" i="2" s="1"/>
  <c r="E126" i="2"/>
  <c r="E158" i="2"/>
  <c r="G164" i="2" l="1"/>
  <c r="H164" i="2" s="1"/>
  <c r="I104" i="2"/>
  <c r="O104" i="2"/>
  <c r="H150" i="2"/>
  <c r="I150" i="2" s="1"/>
  <c r="H179" i="2"/>
  <c r="I179" i="2" s="1"/>
  <c r="H151" i="2"/>
  <c r="I151" i="2" s="1"/>
  <c r="I127" i="2"/>
  <c r="J127" i="2" s="1"/>
  <c r="K127" i="2" s="1"/>
  <c r="D185" i="2"/>
  <c r="F126" i="2"/>
  <c r="F158" i="2"/>
  <c r="G158" i="2" s="1"/>
  <c r="I164" i="2" l="1"/>
  <c r="J164" i="2" s="1"/>
  <c r="K164" i="2" s="1"/>
  <c r="L164" i="2" s="1"/>
  <c r="M164" i="2" s="1"/>
  <c r="N164" i="2" s="1"/>
  <c r="O382" i="2"/>
  <c r="P113" i="2"/>
  <c r="Q113" i="2" s="1"/>
  <c r="I382" i="2"/>
  <c r="J151" i="2"/>
  <c r="J179" i="2"/>
  <c r="K179" i="2" s="1"/>
  <c r="L179" i="2" s="1"/>
  <c r="J150" i="2"/>
  <c r="L127" i="2"/>
  <c r="G126" i="2"/>
  <c r="H158" i="2"/>
  <c r="I158" i="2" s="1"/>
  <c r="D339" i="2"/>
  <c r="O164" i="2" l="1"/>
  <c r="P164" i="2" s="1"/>
  <c r="M179" i="2"/>
  <c r="N179" i="2" s="1"/>
  <c r="O179" i="2" s="1"/>
  <c r="K150" i="2"/>
  <c r="L150" i="2" s="1"/>
  <c r="K151" i="2"/>
  <c r="H126" i="2"/>
  <c r="I126" i="2" s="1"/>
  <c r="M127" i="2"/>
  <c r="N127" i="2" s="1"/>
  <c r="O127" i="2" s="1"/>
  <c r="T127" i="2" s="1"/>
  <c r="J158" i="2"/>
  <c r="K158" i="2" s="1"/>
  <c r="T233" i="2"/>
  <c r="E28" i="3"/>
  <c r="F28" i="3" l="1"/>
  <c r="M150" i="2"/>
  <c r="N150" i="2" s="1"/>
  <c r="L151" i="2"/>
  <c r="J126" i="2"/>
  <c r="T179" i="2"/>
  <c r="L158" i="2"/>
  <c r="M158" i="2" s="1"/>
  <c r="E339" i="2"/>
  <c r="E133" i="2" s="1"/>
  <c r="G28" i="3" l="1"/>
  <c r="E183" i="2"/>
  <c r="E185" i="2" s="1"/>
  <c r="O150" i="2"/>
  <c r="M151" i="2"/>
  <c r="N151" i="2" s="1"/>
  <c r="O151" i="2" s="1"/>
  <c r="K126" i="2"/>
  <c r="N158" i="2"/>
  <c r="O158" i="2" s="1"/>
  <c r="T158" i="2" s="1"/>
  <c r="F339" i="2"/>
  <c r="F133" i="2" s="1"/>
  <c r="D330" i="2"/>
  <c r="D282" i="2" s="1"/>
  <c r="D278" i="2"/>
  <c r="D326" i="2"/>
  <c r="D279" i="2"/>
  <c r="D280" i="2" l="1"/>
  <c r="E326" i="2"/>
  <c r="F326" i="2" s="1"/>
  <c r="H28" i="3"/>
  <c r="E218" i="2"/>
  <c r="F218" i="2"/>
  <c r="T151" i="2"/>
  <c r="L126" i="2"/>
  <c r="T150" i="2"/>
  <c r="E330" i="2"/>
  <c r="E282" i="2" s="1"/>
  <c r="E278" i="2"/>
  <c r="E324" i="2"/>
  <c r="E279" i="2" s="1"/>
  <c r="E280" i="2" l="1"/>
  <c r="I28" i="3"/>
  <c r="F324" i="2"/>
  <c r="F279" i="2" s="1"/>
  <c r="F278" i="2"/>
  <c r="F330" i="2"/>
  <c r="F282" i="2" s="1"/>
  <c r="F183" i="2"/>
  <c r="F185" i="2" s="1"/>
  <c r="M126" i="2"/>
  <c r="F280" i="2"/>
  <c r="J28" i="3" l="1"/>
  <c r="G330" i="2"/>
  <c r="G282" i="2" s="1"/>
  <c r="G278" i="2"/>
  <c r="G324" i="2"/>
  <c r="G279" i="2" s="1"/>
  <c r="N126" i="2"/>
  <c r="G326" i="2"/>
  <c r="G280" i="2" s="1"/>
  <c r="K28" i="3" l="1"/>
  <c r="H324" i="2"/>
  <c r="H279" i="2" s="1"/>
  <c r="H322" i="2"/>
  <c r="H278" i="2" s="1"/>
  <c r="H330" i="2"/>
  <c r="H282" i="2" s="1"/>
  <c r="O126" i="2"/>
  <c r="H326" i="2"/>
  <c r="H280" i="2" s="1"/>
  <c r="L28" i="3" l="1"/>
  <c r="I330" i="2"/>
  <c r="I282" i="2" s="1"/>
  <c r="I322" i="2"/>
  <c r="I278" i="2" s="1"/>
  <c r="I324" i="2"/>
  <c r="I279" i="2" s="1"/>
  <c r="I326" i="2"/>
  <c r="I280" i="2" s="1"/>
  <c r="M28" i="3" l="1"/>
  <c r="J324" i="2"/>
  <c r="J279" i="2" s="1"/>
  <c r="J322" i="2"/>
  <c r="J278" i="2" s="1"/>
  <c r="J330" i="2"/>
  <c r="J282" i="2" s="1"/>
  <c r="T126" i="2"/>
  <c r="J326" i="2"/>
  <c r="J280" i="2" s="1"/>
  <c r="N28" i="3" l="1"/>
  <c r="K330" i="2"/>
  <c r="K282" i="2" s="1"/>
  <c r="K322" i="2"/>
  <c r="K278" i="2" s="1"/>
  <c r="K324" i="2"/>
  <c r="K279" i="2" s="1"/>
  <c r="K326" i="2"/>
  <c r="K280" i="2" s="1"/>
  <c r="O28" i="3" l="1"/>
  <c r="L324" i="2"/>
  <c r="L279" i="2" s="1"/>
  <c r="L322" i="2"/>
  <c r="L278" i="2" s="1"/>
  <c r="L330" i="2"/>
  <c r="L282" i="2" s="1"/>
  <c r="L326" i="2"/>
  <c r="L280" i="2" s="1"/>
  <c r="O273" i="2" l="1"/>
  <c r="O275" i="2" s="1"/>
  <c r="D273" i="2"/>
  <c r="D275" i="2" s="1"/>
  <c r="H273" i="2"/>
  <c r="H275" i="2" s="1"/>
  <c r="M273" i="2"/>
  <c r="M275" i="2" s="1"/>
  <c r="I273" i="2"/>
  <c r="I275" i="2" s="1"/>
  <c r="L273" i="2"/>
  <c r="L275" i="2" s="1"/>
  <c r="N273" i="2"/>
  <c r="N275" i="2" s="1"/>
  <c r="G273" i="2"/>
  <c r="G275" i="2" s="1"/>
  <c r="J273" i="2"/>
  <c r="J275" i="2" s="1"/>
  <c r="F273" i="2"/>
  <c r="F275" i="2" s="1"/>
  <c r="K273" i="2"/>
  <c r="K275" i="2" s="1"/>
  <c r="M330" i="2"/>
  <c r="M282" i="2" s="1"/>
  <c r="M322" i="2"/>
  <c r="M278" i="2" s="1"/>
  <c r="M324" i="2"/>
  <c r="M279" i="2" s="1"/>
  <c r="M326" i="2"/>
  <c r="M280" i="2" s="1"/>
  <c r="L276" i="2" l="1"/>
  <c r="I276" i="2"/>
  <c r="K276" i="2"/>
  <c r="M276" i="2"/>
  <c r="H276" i="2"/>
  <c r="N276" i="2"/>
  <c r="D276" i="2"/>
  <c r="F276" i="2"/>
  <c r="O276" i="2"/>
  <c r="J276" i="2"/>
  <c r="G276" i="2"/>
  <c r="E273" i="2"/>
  <c r="E275" i="2" s="1"/>
  <c r="N330" i="2"/>
  <c r="N282" i="2" s="1"/>
  <c r="N324" i="2"/>
  <c r="N279" i="2" s="1"/>
  <c r="N322" i="2"/>
  <c r="N278" i="2" s="1"/>
  <c r="N326" i="2"/>
  <c r="N280" i="2" s="1"/>
  <c r="D328" i="2"/>
  <c r="T237" i="2"/>
  <c r="T236" i="2"/>
  <c r="E328" i="2" l="1"/>
  <c r="E281" i="2" s="1"/>
  <c r="D281" i="2"/>
  <c r="E276" i="2"/>
  <c r="O326" i="2"/>
  <c r="O280" i="2" s="1"/>
  <c r="O324" i="2"/>
  <c r="O279" i="2" s="1"/>
  <c r="O322" i="2"/>
  <c r="O278" i="2" s="1"/>
  <c r="O330" i="2"/>
  <c r="O282" i="2" s="1"/>
  <c r="D283" i="2" l="1"/>
  <c r="D285" i="2" s="1"/>
  <c r="E283" i="2"/>
  <c r="E285" i="2" s="1"/>
  <c r="F328" i="2"/>
  <c r="F281" i="2" s="1"/>
  <c r="F283" i="2" s="1"/>
  <c r="F285" i="2" s="1"/>
  <c r="D290" i="2"/>
  <c r="G328" i="2" l="1"/>
  <c r="G281" i="2" s="1"/>
  <c r="E290" i="2"/>
  <c r="F290" i="2" s="1"/>
  <c r="G290" i="2" s="1"/>
  <c r="H290" i="2" s="1"/>
  <c r="I290" i="2" s="1"/>
  <c r="J290" i="2" s="1"/>
  <c r="K290" i="2" s="1"/>
  <c r="L290" i="2" s="1"/>
  <c r="M290" i="2" s="1"/>
  <c r="N290" i="2" s="1"/>
  <c r="O290" i="2" s="1"/>
  <c r="G283" i="2" l="1"/>
  <c r="G285" i="2" s="1"/>
  <c r="H328" i="2"/>
  <c r="H281" i="2" s="1"/>
  <c r="G339" i="2"/>
  <c r="G133" i="2" s="1"/>
  <c r="H283" i="2" l="1"/>
  <c r="H285" i="2" s="1"/>
  <c r="I328" i="2"/>
  <c r="I281" i="2" s="1"/>
  <c r="I283" i="2" s="1"/>
  <c r="I285" i="2" s="1"/>
  <c r="G183" i="2"/>
  <c r="G185" i="2" s="1"/>
  <c r="H339" i="2"/>
  <c r="H133" i="2" s="1"/>
  <c r="D91" i="2"/>
  <c r="J328" i="2" l="1"/>
  <c r="J281" i="2" s="1"/>
  <c r="J283" i="2" s="1"/>
  <c r="J285" i="2" s="1"/>
  <c r="G218" i="2"/>
  <c r="H183" i="2"/>
  <c r="H185" i="2" s="1"/>
  <c r="D98" i="2"/>
  <c r="I339" i="2"/>
  <c r="I133" i="2" s="1"/>
  <c r="K328" i="2" l="1"/>
  <c r="K281" i="2" s="1"/>
  <c r="K283" i="2" s="1"/>
  <c r="K285" i="2" s="1"/>
  <c r="H218" i="2"/>
  <c r="I218" i="2"/>
  <c r="J339" i="2"/>
  <c r="J133" i="2" s="1"/>
  <c r="L328" i="2" l="1"/>
  <c r="L281" i="2" s="1"/>
  <c r="L283" i="2" s="1"/>
  <c r="L285" i="2" s="1"/>
  <c r="I183" i="2"/>
  <c r="I185" i="2" s="1"/>
  <c r="J183" i="2"/>
  <c r="J185" i="2" s="1"/>
  <c r="K339" i="2"/>
  <c r="K133" i="2" s="1"/>
  <c r="M328" i="2" l="1"/>
  <c r="M281" i="2" s="1"/>
  <c r="J218" i="2"/>
  <c r="L339" i="2"/>
  <c r="L133" i="2" s="1"/>
  <c r="M283" i="2" l="1"/>
  <c r="M285" i="2" s="1"/>
  <c r="N328" i="2"/>
  <c r="N281" i="2" s="1"/>
  <c r="N283" i="2" s="1"/>
  <c r="N285" i="2" s="1"/>
  <c r="L218" i="2"/>
  <c r="K183" i="2"/>
  <c r="K185" i="2" s="1"/>
  <c r="K218" i="2"/>
  <c r="M339" i="2"/>
  <c r="M133" i="2" s="1"/>
  <c r="O328" i="2" l="1"/>
  <c r="O281" i="2" s="1"/>
  <c r="O283" i="2" s="1"/>
  <c r="O285" i="2" s="1"/>
  <c r="L183" i="2"/>
  <c r="L185" i="2" s="1"/>
  <c r="M218" i="2"/>
  <c r="M183" i="2" l="1"/>
  <c r="M185" i="2" s="1"/>
  <c r="N339" i="2"/>
  <c r="N133" i="2" l="1"/>
  <c r="N218" i="2" s="1"/>
  <c r="T235" i="2"/>
  <c r="T234" i="2"/>
  <c r="F105" i="2" l="1"/>
  <c r="F107" i="2"/>
  <c r="F191" i="2"/>
  <c r="F106" i="2"/>
  <c r="F84" i="2"/>
  <c r="E107" i="2"/>
  <c r="E105" i="2"/>
  <c r="E106" i="2"/>
  <c r="T232" i="2"/>
  <c r="N183" i="2"/>
  <c r="N185" i="2" s="1"/>
  <c r="E191" i="2"/>
  <c r="E84" i="2"/>
  <c r="P338" i="2"/>
  <c r="O339" i="2"/>
  <c r="O133" i="2" s="1"/>
  <c r="P133" i="2" s="1"/>
  <c r="F85" i="2" l="1"/>
  <c r="F219" i="2"/>
  <c r="F220" i="2" s="1"/>
  <c r="G84" i="2"/>
  <c r="G191" i="2"/>
  <c r="G106" i="2"/>
  <c r="G107" i="2"/>
  <c r="G105" i="2"/>
  <c r="H106" i="2"/>
  <c r="H105" i="2"/>
  <c r="H107" i="2"/>
  <c r="H191" i="2"/>
  <c r="H84" i="2"/>
  <c r="O218" i="2"/>
  <c r="E85" i="2"/>
  <c r="E219" i="2"/>
  <c r="E220" i="2" s="1"/>
  <c r="O183" i="2"/>
  <c r="F110" i="2"/>
  <c r="E110" i="2"/>
  <c r="D110" i="2"/>
  <c r="D306" i="2" s="1"/>
  <c r="G110" i="2" l="1"/>
  <c r="H110" i="2"/>
  <c r="H85" i="2"/>
  <c r="H219" i="2"/>
  <c r="H220" i="2" s="1"/>
  <c r="G219" i="2"/>
  <c r="G220" i="2" s="1"/>
  <c r="G85" i="2"/>
  <c r="I84" i="2"/>
  <c r="I191" i="2"/>
  <c r="F87" i="2"/>
  <c r="F88" i="2"/>
  <c r="F86" i="2"/>
  <c r="E88" i="2"/>
  <c r="E86" i="2"/>
  <c r="E87" i="2"/>
  <c r="O185" i="2"/>
  <c r="F91" i="2" l="1"/>
  <c r="F98" i="2" s="1"/>
  <c r="J191" i="2"/>
  <c r="J105" i="2"/>
  <c r="J84" i="2"/>
  <c r="J107" i="2"/>
  <c r="J106" i="2"/>
  <c r="I85" i="2"/>
  <c r="I219" i="2"/>
  <c r="I220" i="2" s="1"/>
  <c r="G86" i="2"/>
  <c r="G88" i="2"/>
  <c r="G87" i="2"/>
  <c r="K191" i="2"/>
  <c r="K84" i="2"/>
  <c r="K105" i="2"/>
  <c r="K107" i="2"/>
  <c r="K106" i="2"/>
  <c r="H86" i="2"/>
  <c r="H87" i="2"/>
  <c r="H88" i="2"/>
  <c r="E91" i="2"/>
  <c r="E98" i="2" s="1"/>
  <c r="F306" i="2" l="1"/>
  <c r="J110" i="2"/>
  <c r="H91" i="2"/>
  <c r="H98" i="2" s="1"/>
  <c r="K110" i="2"/>
  <c r="L107" i="2"/>
  <c r="L105" i="2"/>
  <c r="L106" i="2"/>
  <c r="L84" i="2"/>
  <c r="L191" i="2"/>
  <c r="G91" i="2"/>
  <c r="K85" i="2"/>
  <c r="K219" i="2"/>
  <c r="K220" i="2" s="1"/>
  <c r="I87" i="2"/>
  <c r="I86" i="2"/>
  <c r="I88" i="2"/>
  <c r="J219" i="2"/>
  <c r="J220" i="2" s="1"/>
  <c r="J85" i="2"/>
  <c r="E306" i="2"/>
  <c r="T230" i="2"/>
  <c r="H306" i="2" l="1"/>
  <c r="L110" i="2"/>
  <c r="M105" i="2"/>
  <c r="M107" i="2"/>
  <c r="M191" i="2"/>
  <c r="M84" i="2"/>
  <c r="M106" i="2"/>
  <c r="K86" i="2"/>
  <c r="K88" i="2"/>
  <c r="K87" i="2"/>
  <c r="G306" i="2"/>
  <c r="G98" i="2"/>
  <c r="I91" i="2"/>
  <c r="I98" i="2" s="1"/>
  <c r="N84" i="2"/>
  <c r="N107" i="2"/>
  <c r="N105" i="2"/>
  <c r="N191" i="2"/>
  <c r="N106" i="2"/>
  <c r="J88" i="2"/>
  <c r="J87" i="2"/>
  <c r="J86" i="2"/>
  <c r="L85" i="2"/>
  <c r="L219" i="2"/>
  <c r="L220" i="2" s="1"/>
  <c r="F193" i="2"/>
  <c r="N193" i="2"/>
  <c r="D76" i="2"/>
  <c r="G193" i="2"/>
  <c r="K193" i="2"/>
  <c r="H193" i="2"/>
  <c r="H75" i="2"/>
  <c r="J193" i="2"/>
  <c r="M193" i="2"/>
  <c r="K75" i="2"/>
  <c r="O75" i="2"/>
  <c r="G75" i="2"/>
  <c r="L75" i="2"/>
  <c r="D74" i="2"/>
  <c r="D75" i="2" s="1"/>
  <c r="N75" i="2"/>
  <c r="E193" i="2"/>
  <c r="I75" i="2"/>
  <c r="M75" i="2"/>
  <c r="E75" i="2"/>
  <c r="P73" i="2"/>
  <c r="P74" i="2" s="1"/>
  <c r="L193" i="2"/>
  <c r="J75" i="2"/>
  <c r="F75" i="2"/>
  <c r="J91" i="2" l="1"/>
  <c r="J98" i="2" s="1"/>
  <c r="N110" i="2"/>
  <c r="G78" i="2"/>
  <c r="E78" i="2"/>
  <c r="O78" i="2"/>
  <c r="H78" i="2"/>
  <c r="L78" i="2"/>
  <c r="M78" i="2"/>
  <c r="J78" i="2"/>
  <c r="F78" i="2"/>
  <c r="I78" i="2"/>
  <c r="N78" i="2"/>
  <c r="K78" i="2"/>
  <c r="L86" i="2"/>
  <c r="L88" i="2"/>
  <c r="L87" i="2"/>
  <c r="O84" i="2"/>
  <c r="O191" i="2"/>
  <c r="N85" i="2"/>
  <c r="N219" i="2"/>
  <c r="N220" i="2" s="1"/>
  <c r="M219" i="2"/>
  <c r="M220" i="2" s="1"/>
  <c r="M85" i="2"/>
  <c r="K91" i="2"/>
  <c r="M110" i="2"/>
  <c r="N197" i="2"/>
  <c r="N365" i="2"/>
  <c r="M197" i="2"/>
  <c r="M365" i="2"/>
  <c r="K197" i="2"/>
  <c r="K365" i="2"/>
  <c r="J197" i="2"/>
  <c r="J365" i="2"/>
  <c r="L197" i="2"/>
  <c r="L365" i="2"/>
  <c r="G197" i="2"/>
  <c r="G371" i="2" s="1"/>
  <c r="G365" i="2"/>
  <c r="E197" i="2"/>
  <c r="E227" i="2" s="1"/>
  <c r="E365" i="2"/>
  <c r="F197" i="2"/>
  <c r="F227" i="2" s="1"/>
  <c r="F365" i="2"/>
  <c r="H197" i="2"/>
  <c r="H371" i="2" s="1"/>
  <c r="H365" i="2"/>
  <c r="Q172" i="2"/>
  <c r="D204" i="2"/>
  <c r="D193" i="2"/>
  <c r="D78" i="2"/>
  <c r="F204" i="2"/>
  <c r="F208" i="2" s="1"/>
  <c r="F214" i="2" s="1"/>
  <c r="H204" i="2"/>
  <c r="M204" i="2"/>
  <c r="M208" i="2" s="1"/>
  <c r="M214" i="2" s="1"/>
  <c r="K190" i="2"/>
  <c r="K192" i="2" s="1"/>
  <c r="K204" i="2"/>
  <c r="J204" i="2"/>
  <c r="G204" i="2"/>
  <c r="G208" i="2" s="1"/>
  <c r="G214" i="2" s="1"/>
  <c r="T231" i="2"/>
  <c r="N204" i="2"/>
  <c r="L204" i="2"/>
  <c r="E204" i="2"/>
  <c r="I103" i="2"/>
  <c r="M190" i="2"/>
  <c r="M192" i="2" s="1"/>
  <c r="T103" i="2" l="1"/>
  <c r="I107" i="2"/>
  <c r="I376" i="2" s="1"/>
  <c r="I106" i="2"/>
  <c r="I105" i="2"/>
  <c r="I374" i="2" s="1"/>
  <c r="I378" i="2"/>
  <c r="I198" i="2" s="1"/>
  <c r="I229" i="2" s="1"/>
  <c r="J306" i="2"/>
  <c r="O381" i="2"/>
  <c r="O204" i="2" s="1"/>
  <c r="O219" i="2"/>
  <c r="O220" i="2" s="1"/>
  <c r="O85" i="2"/>
  <c r="M87" i="2"/>
  <c r="M86" i="2"/>
  <c r="M88" i="2"/>
  <c r="N88" i="2"/>
  <c r="N86" i="2"/>
  <c r="N87" i="2"/>
  <c r="K306" i="2"/>
  <c r="K98" i="2"/>
  <c r="L91" i="2"/>
  <c r="M227" i="2"/>
  <c r="M371" i="2"/>
  <c r="L227" i="2"/>
  <c r="L371" i="2"/>
  <c r="N227" i="2"/>
  <c r="N371" i="2"/>
  <c r="O365" i="2"/>
  <c r="J227" i="2"/>
  <c r="J371" i="2"/>
  <c r="K227" i="2"/>
  <c r="K371" i="2"/>
  <c r="G227" i="2"/>
  <c r="E371" i="2"/>
  <c r="I381" i="2"/>
  <c r="H227" i="2"/>
  <c r="F371" i="2"/>
  <c r="D365" i="2"/>
  <c r="I365" i="2" s="1"/>
  <c r="D197" i="2"/>
  <c r="D371" i="2" s="1"/>
  <c r="Q143" i="2"/>
  <c r="T143" i="2" s="1"/>
  <c r="P183" i="2"/>
  <c r="M195" i="2"/>
  <c r="M196" i="2"/>
  <c r="M194" i="2"/>
  <c r="K195" i="2"/>
  <c r="K196" i="2"/>
  <c r="K194" i="2"/>
  <c r="I108" i="2"/>
  <c r="I377" i="2" s="1"/>
  <c r="I375" i="2"/>
  <c r="F190" i="2"/>
  <c r="F192" i="2" s="1"/>
  <c r="N208" i="2"/>
  <c r="N214" i="2" s="1"/>
  <c r="N190" i="2"/>
  <c r="N192" i="2" s="1"/>
  <c r="K208" i="2"/>
  <c r="K214" i="2" s="1"/>
  <c r="E208" i="2"/>
  <c r="E214" i="2" s="1"/>
  <c r="L208" i="2"/>
  <c r="L214" i="2" s="1"/>
  <c r="E190" i="2"/>
  <c r="E192" i="2" s="1"/>
  <c r="H190" i="2"/>
  <c r="H192" i="2" s="1"/>
  <c r="T133" i="2"/>
  <c r="T172" i="2"/>
  <c r="T164" i="2"/>
  <c r="H208" i="2"/>
  <c r="H214" i="2" s="1"/>
  <c r="O103" i="2"/>
  <c r="Q145" i="2"/>
  <c r="T145" i="2" s="1"/>
  <c r="T135" i="2"/>
  <c r="L190" i="2"/>
  <c r="L192" i="2" s="1"/>
  <c r="Q174" i="2"/>
  <c r="T174" i="2" s="1"/>
  <c r="T166" i="2"/>
  <c r="G190" i="2"/>
  <c r="G192" i="2" s="1"/>
  <c r="J190" i="2"/>
  <c r="J192" i="2" s="1"/>
  <c r="J208" i="2"/>
  <c r="J214" i="2" s="1"/>
  <c r="Q173" i="2"/>
  <c r="T173" i="2" s="1"/>
  <c r="T165" i="2"/>
  <c r="Q144" i="2"/>
  <c r="T144" i="2" s="1"/>
  <c r="T134" i="2"/>
  <c r="M210" i="2"/>
  <c r="G210" i="2"/>
  <c r="F210" i="2"/>
  <c r="D208" i="2"/>
  <c r="D190" i="2"/>
  <c r="D192" i="2" s="1"/>
  <c r="T105" i="2" l="1"/>
  <c r="O106" i="2"/>
  <c r="O107" i="2"/>
  <c r="O105" i="2"/>
  <c r="D214" i="2"/>
  <c r="D215" i="2" s="1"/>
  <c r="E215" i="2" s="1"/>
  <c r="F215" i="2" s="1"/>
  <c r="G215" i="2" s="1"/>
  <c r="N210" i="2"/>
  <c r="O378" i="2"/>
  <c r="O198" i="2" s="1"/>
  <c r="E210" i="2"/>
  <c r="H210" i="2"/>
  <c r="K210" i="2"/>
  <c r="P103" i="2"/>
  <c r="N91" i="2"/>
  <c r="N306" i="2" s="1"/>
  <c r="M91" i="2"/>
  <c r="O88" i="2"/>
  <c r="O87" i="2"/>
  <c r="O86" i="2"/>
  <c r="L98" i="2"/>
  <c r="L306" i="2"/>
  <c r="K225" i="2"/>
  <c r="K370" i="2"/>
  <c r="K224" i="2"/>
  <c r="K369" i="2"/>
  <c r="M222" i="2"/>
  <c r="M368" i="2"/>
  <c r="M225" i="2"/>
  <c r="M370" i="2"/>
  <c r="M224" i="2"/>
  <c r="M369" i="2"/>
  <c r="K222" i="2"/>
  <c r="K368" i="2"/>
  <c r="O371" i="2"/>
  <c r="I371" i="2"/>
  <c r="I366" i="2"/>
  <c r="I193" i="2" s="1"/>
  <c r="D227" i="2"/>
  <c r="D196" i="2"/>
  <c r="D370" i="2" s="1"/>
  <c r="D195" i="2"/>
  <c r="D369" i="2" s="1"/>
  <c r="D194" i="2"/>
  <c r="D368" i="2" s="1"/>
  <c r="J196" i="2"/>
  <c r="J194" i="2"/>
  <c r="J195" i="2"/>
  <c r="L195" i="2"/>
  <c r="L196" i="2"/>
  <c r="L194" i="2"/>
  <c r="H196" i="2"/>
  <c r="H194" i="2"/>
  <c r="H195" i="2"/>
  <c r="G196" i="2"/>
  <c r="G194" i="2"/>
  <c r="G195" i="2"/>
  <c r="N195" i="2"/>
  <c r="N194" i="2"/>
  <c r="N196" i="2"/>
  <c r="F195" i="2"/>
  <c r="F196" i="2"/>
  <c r="F194" i="2"/>
  <c r="E195" i="2"/>
  <c r="E196" i="2"/>
  <c r="E194" i="2"/>
  <c r="O376" i="2"/>
  <c r="O108" i="2"/>
  <c r="O377" i="2" s="1"/>
  <c r="O375" i="2"/>
  <c r="O374" i="2"/>
  <c r="L210" i="2"/>
  <c r="J210" i="2"/>
  <c r="Q184" i="2"/>
  <c r="Q209" i="2" s="1"/>
  <c r="Q210" i="2" s="1"/>
  <c r="D210" i="2"/>
  <c r="K199" i="2"/>
  <c r="M199" i="2"/>
  <c r="I110" i="2"/>
  <c r="I306" i="2" s="1"/>
  <c r="P105" i="2" l="1"/>
  <c r="K250" i="2"/>
  <c r="K396" i="2" s="1"/>
  <c r="K397" i="2" s="1"/>
  <c r="M250" i="2"/>
  <c r="M396" i="2" s="1"/>
  <c r="M397" i="2" s="1"/>
  <c r="H215" i="2"/>
  <c r="O229" i="2"/>
  <c r="P229" i="2" s="1"/>
  <c r="P198" i="2"/>
  <c r="N98" i="2"/>
  <c r="O91" i="2"/>
  <c r="O98" i="2" s="1"/>
  <c r="M306" i="2"/>
  <c r="M98" i="2"/>
  <c r="Q104" i="2"/>
  <c r="T216" i="2" s="1"/>
  <c r="N225" i="2"/>
  <c r="N370" i="2"/>
  <c r="O366" i="2"/>
  <c r="O193" i="2" s="1"/>
  <c r="N222" i="2"/>
  <c r="N368" i="2"/>
  <c r="L222" i="2"/>
  <c r="L368" i="2"/>
  <c r="J225" i="2"/>
  <c r="J370" i="2"/>
  <c r="N224" i="2"/>
  <c r="N369" i="2"/>
  <c r="L225" i="2"/>
  <c r="L370" i="2"/>
  <c r="L224" i="2"/>
  <c r="L369" i="2"/>
  <c r="J224" i="2"/>
  <c r="J369" i="2"/>
  <c r="J222" i="2"/>
  <c r="J368" i="2"/>
  <c r="I190" i="2"/>
  <c r="I192" i="2" s="1"/>
  <c r="I197" i="2" s="1"/>
  <c r="I227" i="2" s="1"/>
  <c r="E225" i="2"/>
  <c r="E370" i="2"/>
  <c r="G224" i="2"/>
  <c r="G369" i="2"/>
  <c r="E222" i="2"/>
  <c r="E368" i="2"/>
  <c r="E224" i="2"/>
  <c r="E369" i="2"/>
  <c r="G222" i="2"/>
  <c r="G368" i="2"/>
  <c r="F222" i="2"/>
  <c r="F368" i="2"/>
  <c r="G225" i="2"/>
  <c r="G370" i="2"/>
  <c r="F225" i="2"/>
  <c r="F370" i="2"/>
  <c r="H224" i="2"/>
  <c r="H369" i="2"/>
  <c r="F224" i="2"/>
  <c r="F369" i="2"/>
  <c r="H222" i="2"/>
  <c r="H368" i="2"/>
  <c r="H225" i="2"/>
  <c r="H370" i="2"/>
  <c r="D222" i="2"/>
  <c r="D225" i="2"/>
  <c r="D224" i="2"/>
  <c r="R185" i="2"/>
  <c r="O110" i="2"/>
  <c r="F199" i="2"/>
  <c r="F200" i="2" s="1"/>
  <c r="H199" i="2"/>
  <c r="H200" i="2" s="1"/>
  <c r="P106" i="2"/>
  <c r="G199" i="2"/>
  <c r="G200" i="2" s="1"/>
  <c r="N199" i="2"/>
  <c r="J199" i="2"/>
  <c r="J200" i="2" s="1"/>
  <c r="E199" i="2"/>
  <c r="E200" i="2" s="1"/>
  <c r="L199" i="2"/>
  <c r="P107" i="2"/>
  <c r="P109" i="2"/>
  <c r="P108" i="2"/>
  <c r="D199" i="2"/>
  <c r="K200" i="2"/>
  <c r="M200" i="2"/>
  <c r="J250" i="2" l="1"/>
  <c r="H250" i="2"/>
  <c r="H396" i="2" s="1"/>
  <c r="H397" i="2" s="1"/>
  <c r="E250" i="2"/>
  <c r="L250" i="2"/>
  <c r="L396" i="2" s="1"/>
  <c r="L397" i="2" s="1"/>
  <c r="F250" i="2"/>
  <c r="F396" i="2" s="1"/>
  <c r="F397" i="2" s="1"/>
  <c r="D250" i="2"/>
  <c r="D251" i="2" s="1"/>
  <c r="D253" i="2" s="1"/>
  <c r="D255" i="2" s="1"/>
  <c r="D256" i="2" s="1"/>
  <c r="G250" i="2"/>
  <c r="G396" i="2" s="1"/>
  <c r="G397" i="2" s="1"/>
  <c r="N250" i="2"/>
  <c r="N396" i="2" s="1"/>
  <c r="N397" i="2" s="1"/>
  <c r="J396" i="2"/>
  <c r="J397" i="2" s="1"/>
  <c r="T229" i="2"/>
  <c r="E396" i="2"/>
  <c r="E397" i="2" s="1"/>
  <c r="O306" i="2"/>
  <c r="P110" i="2"/>
  <c r="P193" i="2"/>
  <c r="O208" i="2"/>
  <c r="O214" i="2" s="1"/>
  <c r="O190" i="2"/>
  <c r="O192" i="2" s="1"/>
  <c r="O197" i="2" s="1"/>
  <c r="O227" i="2" s="1"/>
  <c r="P227" i="2" s="1"/>
  <c r="O368" i="2"/>
  <c r="O369" i="2"/>
  <c r="O370" i="2"/>
  <c r="I368" i="2"/>
  <c r="I194" i="2" s="1"/>
  <c r="I222" i="2" s="1"/>
  <c r="I370" i="2"/>
  <c r="I196" i="2" s="1"/>
  <c r="I369" i="2"/>
  <c r="I195" i="2" s="1"/>
  <c r="L200" i="2"/>
  <c r="N200" i="2"/>
  <c r="D200" i="2"/>
  <c r="D396" i="2" l="1"/>
  <c r="D397" i="2" s="1"/>
  <c r="O196" i="2"/>
  <c r="O225" i="2" s="1"/>
  <c r="O195" i="2"/>
  <c r="O224" i="2" s="1"/>
  <c r="O194" i="2"/>
  <c r="P194" i="2" s="1"/>
  <c r="P197" i="2"/>
  <c r="O210" i="2"/>
  <c r="I199" i="2"/>
  <c r="I200" i="2" s="1"/>
  <c r="I224" i="2"/>
  <c r="I225" i="2"/>
  <c r="P224" i="2" l="1"/>
  <c r="I250" i="2"/>
  <c r="P225" i="2"/>
  <c r="T227" i="2"/>
  <c r="O199" i="2"/>
  <c r="O200" i="2" s="1"/>
  <c r="O222" i="2"/>
  <c r="P196" i="2"/>
  <c r="P195" i="2"/>
  <c r="E251" i="2"/>
  <c r="E253" i="2" s="1"/>
  <c r="E255" i="2" s="1"/>
  <c r="O250" i="2" l="1"/>
  <c r="P222" i="2"/>
  <c r="P251" i="2" s="1"/>
  <c r="D258" i="2"/>
  <c r="T225" i="2"/>
  <c r="T224" i="2"/>
  <c r="F251" i="2"/>
  <c r="T222" i="2" l="1"/>
  <c r="F253" i="2"/>
  <c r="F255" i="2" s="1"/>
  <c r="E258" i="2"/>
  <c r="E256" i="2"/>
  <c r="O396" i="2"/>
  <c r="O397" i="2" s="1"/>
  <c r="G251" i="2"/>
  <c r="G253" i="2" s="1"/>
  <c r="G255" i="2" s="1"/>
  <c r="D259" i="2"/>
  <c r="D260" i="2" l="1"/>
  <c r="D263" i="2" s="1"/>
  <c r="D265" i="2"/>
  <c r="F256" i="2"/>
  <c r="G256" i="2" s="1"/>
  <c r="F258" i="2"/>
  <c r="G258" i="2" s="1"/>
  <c r="E259" i="2"/>
  <c r="E262" i="2" s="1"/>
  <c r="H251" i="2"/>
  <c r="H253" i="2" s="1"/>
  <c r="H255" i="2" s="1"/>
  <c r="D262" i="2"/>
  <c r="D287" i="2" l="1"/>
  <c r="D267" i="2"/>
  <c r="D288" i="2" s="1"/>
  <c r="E265" i="2"/>
  <c r="E260" i="2"/>
  <c r="E263" i="2" s="1"/>
  <c r="H256" i="2"/>
  <c r="I251" i="2"/>
  <c r="F259" i="2"/>
  <c r="F265" i="2" s="1"/>
  <c r="D266" i="2"/>
  <c r="H258" i="2"/>
  <c r="G259" i="2"/>
  <c r="D292" i="2" l="1"/>
  <c r="D293" i="2"/>
  <c r="E266" i="2"/>
  <c r="E267" i="2"/>
  <c r="E288" i="2" s="1"/>
  <c r="E287" i="2"/>
  <c r="F266" i="2"/>
  <c r="F287" i="2"/>
  <c r="D291" i="2"/>
  <c r="F260" i="2"/>
  <c r="F263" i="2" s="1"/>
  <c r="F262" i="2"/>
  <c r="J251" i="2"/>
  <c r="H259" i="2"/>
  <c r="H265" i="2" s="1"/>
  <c r="H287" i="2" s="1"/>
  <c r="G262" i="2"/>
  <c r="G265" i="2"/>
  <c r="G287" i="2" s="1"/>
  <c r="E293" i="2" l="1"/>
  <c r="E292" i="2"/>
  <c r="D298" i="2"/>
  <c r="D296" i="2"/>
  <c r="F267" i="2"/>
  <c r="F288" i="2" s="1"/>
  <c r="G260" i="2"/>
  <c r="G263" i="2" s="1"/>
  <c r="K251" i="2"/>
  <c r="H266" i="2"/>
  <c r="H262" i="2"/>
  <c r="G266" i="2"/>
  <c r="F292" i="2" l="1"/>
  <c r="F293" i="2"/>
  <c r="G267" i="2"/>
  <c r="H267" i="2" s="1"/>
  <c r="H288" i="2" s="1"/>
  <c r="H260" i="2"/>
  <c r="H263" i="2" s="1"/>
  <c r="L251" i="2"/>
  <c r="H292" i="2" l="1"/>
  <c r="H293" i="2"/>
  <c r="G288" i="2"/>
  <c r="M251" i="2"/>
  <c r="G292" i="2" l="1"/>
  <c r="G293" i="2"/>
  <c r="N251" i="2"/>
  <c r="O251" i="2" s="1"/>
  <c r="G298" i="2" l="1"/>
  <c r="G296" i="2"/>
  <c r="H296" i="2"/>
  <c r="H298" i="2"/>
  <c r="D391" i="2"/>
  <c r="D304" i="2" l="1"/>
  <c r="D305" i="2" s="1"/>
  <c r="D392" i="2"/>
  <c r="D300" i="2" l="1"/>
  <c r="D116" i="2"/>
  <c r="D118" i="2"/>
  <c r="E391" i="2" l="1"/>
  <c r="G391" i="2" l="1"/>
  <c r="E291" i="2" l="1"/>
  <c r="F391" i="2"/>
  <c r="H391" i="2"/>
  <c r="E296" i="2" l="1"/>
  <c r="E298" i="2"/>
  <c r="F298" i="2"/>
  <c r="F296" i="2"/>
  <c r="E304" i="2"/>
  <c r="E305" i="2" s="1"/>
  <c r="E392" i="2"/>
  <c r="F300" i="2" l="1"/>
  <c r="E300" i="2"/>
  <c r="E116" i="2"/>
  <c r="E118" i="2"/>
  <c r="F291" i="2" l="1"/>
  <c r="G291" i="2"/>
  <c r="G304" i="2" s="1"/>
  <c r="H291" i="2" l="1"/>
  <c r="F304" i="2"/>
  <c r="F392" i="2"/>
  <c r="G392" i="2"/>
  <c r="G300" i="2" l="1"/>
  <c r="H392" i="2"/>
  <c r="H304" i="2"/>
  <c r="F116" i="2"/>
  <c r="F305" i="2"/>
  <c r="H300" i="2" l="1"/>
  <c r="F118" i="2"/>
  <c r="G116" i="2"/>
  <c r="G118" i="2"/>
  <c r="G305" i="2"/>
  <c r="H116" i="2" l="1"/>
  <c r="H118" i="2"/>
  <c r="H305" i="2"/>
  <c r="I116" i="2" l="1"/>
  <c r="I118" i="2"/>
  <c r="J116" i="2" l="1"/>
  <c r="J118" i="2"/>
  <c r="N118" i="2" l="1"/>
  <c r="O116" i="2"/>
  <c r="O118" i="2" l="1"/>
  <c r="M116" i="2" l="1"/>
  <c r="M118" i="2"/>
  <c r="R312" i="2"/>
  <c r="L118" i="2" l="1"/>
  <c r="L116" i="2"/>
  <c r="K118" i="2"/>
  <c r="K116" i="2"/>
  <c r="P118" i="2" l="1"/>
  <c r="N116" i="2" l="1"/>
  <c r="I204" i="2"/>
  <c r="I208" i="2" l="1"/>
  <c r="I214" i="2" s="1"/>
  <c r="P204" i="2"/>
  <c r="P214" i="2" l="1"/>
  <c r="P253" i="2" s="1"/>
  <c r="P255" i="2" s="1"/>
  <c r="I210" i="2"/>
  <c r="I215" i="2"/>
  <c r="J215" i="2" s="1"/>
  <c r="K215" i="2" s="1"/>
  <c r="L215" i="2" s="1"/>
  <c r="M215" i="2" s="1"/>
  <c r="N215" i="2" s="1"/>
  <c r="O215" i="2" s="1"/>
  <c r="P208" i="2"/>
  <c r="P210" i="2" s="1"/>
  <c r="P258" i="2" l="1"/>
  <c r="P257" i="2"/>
  <c r="P256" i="2"/>
  <c r="L253" i="2"/>
  <c r="L255" i="2" s="1"/>
  <c r="M253" i="2"/>
  <c r="M255" i="2" s="1"/>
  <c r="N253" i="2"/>
  <c r="N255" i="2" s="1"/>
  <c r="O253" i="2"/>
  <c r="O255" i="2" s="1"/>
  <c r="I253" i="2"/>
  <c r="I396" i="2"/>
  <c r="I397" i="2" s="1"/>
  <c r="J253" i="2"/>
  <c r="J255" i="2" s="1"/>
  <c r="K253" i="2"/>
  <c r="K255" i="2" s="1"/>
  <c r="T214" i="2"/>
  <c r="T217" i="2" s="1"/>
  <c r="P260" i="2" l="1"/>
  <c r="P263" i="2" s="1"/>
  <c r="P267" i="2" s="1"/>
  <c r="P278" i="2" s="1"/>
  <c r="P279" i="2" s="1"/>
  <c r="I255" i="2"/>
  <c r="I258" i="2" s="1"/>
  <c r="J258" i="2" s="1"/>
  <c r="P280" i="2" l="1"/>
  <c r="P281" i="2" s="1"/>
  <c r="P282" i="2" s="1"/>
  <c r="T282" i="2" s="1"/>
  <c r="I256" i="2"/>
  <c r="J256" i="2" s="1"/>
  <c r="J259" i="2" s="1"/>
  <c r="K258" i="2"/>
  <c r="L258" i="2" s="1"/>
  <c r="M258" i="2" s="1"/>
  <c r="P283" i="2" l="1"/>
  <c r="P284" i="2" s="1"/>
  <c r="P285" i="2" s="1"/>
  <c r="P288" i="2" s="1"/>
  <c r="I259" i="2"/>
  <c r="I260" i="2" s="1"/>
  <c r="I263" i="2" s="1"/>
  <c r="K256" i="2"/>
  <c r="L256" i="2" s="1"/>
  <c r="L259" i="2" s="1"/>
  <c r="L262" i="2" s="1"/>
  <c r="N258" i="2"/>
  <c r="O258" i="2" s="1"/>
  <c r="T257" i="2"/>
  <c r="J265" i="2"/>
  <c r="J262" i="2"/>
  <c r="P293" i="2" l="1"/>
  <c r="P304" i="2" s="1"/>
  <c r="P292" i="2"/>
  <c r="T292" i="2" s="1"/>
  <c r="T291" i="2"/>
  <c r="P291" i="2"/>
  <c r="I262" i="2"/>
  <c r="M256" i="2"/>
  <c r="N256" i="2" s="1"/>
  <c r="O256" i="2" s="1"/>
  <c r="I265" i="2"/>
  <c r="I267" i="2" s="1"/>
  <c r="K259" i="2"/>
  <c r="K265" i="2" s="1"/>
  <c r="K287" i="2" s="1"/>
  <c r="J266" i="2"/>
  <c r="J287" i="2"/>
  <c r="L265" i="2"/>
  <c r="L287" i="2" s="1"/>
  <c r="T258" i="2"/>
  <c r="J260" i="2"/>
  <c r="J391" i="2"/>
  <c r="K391" i="2" l="1"/>
  <c r="K262" i="2"/>
  <c r="K266" i="2"/>
  <c r="I288" i="2"/>
  <c r="J267" i="2"/>
  <c r="K267" i="2" s="1"/>
  <c r="I266" i="2"/>
  <c r="N259" i="2"/>
  <c r="N265" i="2" s="1"/>
  <c r="N287" i="2" s="1"/>
  <c r="I287" i="2"/>
  <c r="M259" i="2"/>
  <c r="M265" i="2" s="1"/>
  <c r="M287" i="2" s="1"/>
  <c r="L266" i="2"/>
  <c r="L391" i="2"/>
  <c r="J263" i="2"/>
  <c r="K260" i="2"/>
  <c r="I293" i="2" l="1"/>
  <c r="I292" i="2"/>
  <c r="N262" i="2"/>
  <c r="K288" i="2"/>
  <c r="L267" i="2"/>
  <c r="L288" i="2" s="1"/>
  <c r="M266" i="2"/>
  <c r="M262" i="2"/>
  <c r="J288" i="2"/>
  <c r="M391" i="2"/>
  <c r="O259" i="2"/>
  <c r="N266" i="2"/>
  <c r="I391" i="2"/>
  <c r="K263" i="2"/>
  <c r="L260" i="2"/>
  <c r="M260" i="2" s="1"/>
  <c r="N260" i="2" s="1"/>
  <c r="J292" i="2" l="1"/>
  <c r="J293" i="2"/>
  <c r="J304" i="2" s="1"/>
  <c r="L292" i="2"/>
  <c r="L293" i="2"/>
  <c r="K292" i="2"/>
  <c r="K293" i="2"/>
  <c r="I16" i="4"/>
  <c r="I296" i="2"/>
  <c r="I298" i="2"/>
  <c r="M267" i="2"/>
  <c r="N267" i="2" s="1"/>
  <c r="N288" i="2" s="1"/>
  <c r="I291" i="2"/>
  <c r="O260" i="2"/>
  <c r="O263" i="2" s="1"/>
  <c r="N263" i="2"/>
  <c r="T256" i="2"/>
  <c r="O262" i="2"/>
  <c r="O265" i="2"/>
  <c r="M263" i="2"/>
  <c r="L263" i="2"/>
  <c r="J296" i="2" l="1"/>
  <c r="K296" i="2"/>
  <c r="L296" i="2"/>
  <c r="L298" i="2"/>
  <c r="K298" i="2"/>
  <c r="J298" i="2"/>
  <c r="N293" i="2"/>
  <c r="N292" i="2"/>
  <c r="M288" i="2"/>
  <c r="O267" i="2"/>
  <c r="O288" i="2" s="1"/>
  <c r="O287" i="2"/>
  <c r="J291" i="2"/>
  <c r="O391" i="2"/>
  <c r="O266" i="2"/>
  <c r="T263" i="2"/>
  <c r="N391" i="2"/>
  <c r="I304" i="2"/>
  <c r="I308" i="2" s="1"/>
  <c r="I392" i="2"/>
  <c r="K300" i="2" l="1"/>
  <c r="O293" i="2"/>
  <c r="O304" i="2" s="1"/>
  <c r="O292" i="2"/>
  <c r="M293" i="2"/>
  <c r="N298" i="2" s="1"/>
  <c r="M292" i="2"/>
  <c r="L304" i="2"/>
  <c r="K304" i="2"/>
  <c r="N304" i="2"/>
  <c r="I305" i="2"/>
  <c r="K291" i="2"/>
  <c r="I300" i="2"/>
  <c r="J392" i="2"/>
  <c r="M304" i="2" l="1"/>
  <c r="M296" i="2"/>
  <c r="M298" i="2"/>
  <c r="N296" i="2"/>
  <c r="J305" i="2"/>
  <c r="P296" i="2"/>
  <c r="O298" i="2"/>
  <c r="O296" i="2"/>
  <c r="P298" i="2"/>
  <c r="N291" i="2"/>
  <c r="J300" i="2"/>
  <c r="T278" i="2"/>
  <c r="K392" i="2"/>
  <c r="O291" i="2" l="1"/>
  <c r="M291" i="2"/>
  <c r="L291" i="2"/>
  <c r="L392" i="2" s="1"/>
  <c r="T279" i="2"/>
  <c r="T280" i="2"/>
  <c r="K305" i="2"/>
  <c r="M305" i="2" l="1"/>
  <c r="N392" i="2"/>
  <c r="N305" i="2"/>
  <c r="M392" i="2"/>
  <c r="O392" i="2" l="1"/>
  <c r="L305" i="2"/>
  <c r="O305" i="2"/>
  <c r="L300" i="2"/>
  <c r="M300" i="2"/>
  <c r="N300" i="2"/>
  <c r="T281" i="2"/>
  <c r="P300" i="2" l="1"/>
  <c r="T283" i="2"/>
  <c r="O300" i="2"/>
  <c r="T284" i="2" l="1"/>
  <c r="T285" i="2" l="1"/>
  <c r="T288" i="2" l="1"/>
  <c r="R311" i="2"/>
  <c r="R314" i="2" s="1"/>
  <c r="R316" i="2" s="1"/>
  <c r="R288" i="2"/>
  <c r="P305" i="2" l="1"/>
  <c r="T293" i="2"/>
  <c r="T301" i="2" s="1"/>
  <c r="R315" i="2"/>
  <c r="R317" i="2" s="1"/>
  <c r="P314" i="2"/>
  <c r="S317" i="2" l="1"/>
  <c r="P31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Leandro Plano</author>
  </authors>
  <commentList>
    <comment ref="B11" authorId="0" shapeId="0" xr:uid="{81723F5A-2BED-41FC-BCED-B031337D6B9E}">
      <text>
        <r>
          <rPr>
            <b/>
            <sz val="9"/>
            <color indexed="81"/>
            <rFont val="Tahoma"/>
            <family val="2"/>
          </rPr>
          <t xml:space="preserve">E- DEDUCCIONES PERSONALES
</t>
        </r>
        <r>
          <rPr>
            <b/>
            <u/>
            <sz val="10"/>
            <color indexed="81"/>
            <rFont val="Tahoma"/>
            <family val="2"/>
          </rPr>
          <t xml:space="preserve"> ZONAS DESFAVORABLES</t>
        </r>
        <r>
          <rPr>
            <b/>
            <sz val="9"/>
            <color indexed="81"/>
            <rFont val="Tahoma"/>
            <family val="2"/>
          </rPr>
          <t xml:space="preserve">
EMPLEADOS EN RELACIÓN DE DEPENDENCIA QUE TRABAJEN Y JUBILADOS QUE VIVAN EN LAS PROVINCIAS Y, EN SU CASO, PARTIDO A QUE HACEN MENCIÓN EL ARTÍCULO 1° DE LA LEY N° 23.272 Y SUS MODIFICACIONES. 
 ARTICULO 1° — A los efectos de las leyes, decretos, reglamentaciones, resoluciones y demás disposiciones legales del orden nacional, considérase a la provincia de La Pampa juntamente con las provinciales de Río Negro, Chubut, Neuquén, Santa Cruz, Tierra del Fuego, Antártida e Islas del Atlántico Sur y el partido de Patagones de la provincia de Buenos Aires.
✓  A efectos de determinar mensualmente si procede el cómputo de los importes incrementados en un 22%, en el caso de empleados que trabajen o jubilados que vivan </t>
        </r>
        <r>
          <rPr>
            <b/>
            <u/>
            <sz val="9"/>
            <color indexed="81"/>
            <rFont val="Tahoma"/>
            <family val="2"/>
          </rPr>
          <t>en más de una jurisdicción</t>
        </r>
        <r>
          <rPr>
            <b/>
            <sz val="9"/>
            <color indexed="81"/>
            <rFont val="Tahoma"/>
            <family val="2"/>
          </rPr>
          <t xml:space="preserve"> dentro del mismo período fiscal, y una de ellas sea una de las provincias -o partido- a que hace mención el Artículo 1° de la Ley N° 23.272 y sus modificaciones, deberán observarse las siguientes </t>
        </r>
        <r>
          <rPr>
            <b/>
            <u/>
            <sz val="9"/>
            <color indexed="81"/>
            <rFont val="Tahoma"/>
            <family val="2"/>
          </rPr>
          <t>pautas</t>
        </r>
        <r>
          <rPr>
            <b/>
            <sz val="9"/>
            <color indexed="81"/>
            <rFont val="Tahoma"/>
            <family val="2"/>
          </rPr>
          <t xml:space="preserve">:  
a) En el caso de </t>
        </r>
        <r>
          <rPr>
            <b/>
            <u/>
            <sz val="9"/>
            <color indexed="81"/>
            <rFont val="Tahoma"/>
            <family val="2"/>
          </rPr>
          <t>empleados</t>
        </r>
        <r>
          <rPr>
            <b/>
            <sz val="9"/>
            <color indexed="81"/>
            <rFont val="Tahoma"/>
            <family val="2"/>
          </rPr>
          <t xml:space="preserve">, deberá considerarse como lugar de trabajo aquél en que al momento de efectuar la retención se desempeñe durante la mayor cantidad de días contados desde el inicio del período fiscal.  
b) De tratarse de </t>
        </r>
        <r>
          <rPr>
            <b/>
            <u/>
            <sz val="9"/>
            <color indexed="81"/>
            <rFont val="Tahoma"/>
            <family val="2"/>
          </rPr>
          <t>jubilados</t>
        </r>
        <r>
          <rPr>
            <b/>
            <sz val="9"/>
            <color indexed="81"/>
            <rFont val="Tahoma"/>
            <family val="2"/>
          </rPr>
          <t>, se considerará que vive en la provincia en la cual percibe sus haberes jubilatorios.  
c) Cuando se cumplan ambas condiciones -</t>
        </r>
        <r>
          <rPr>
            <b/>
            <u/>
            <sz val="9"/>
            <color indexed="81"/>
            <rFont val="Tahoma"/>
            <family val="2"/>
          </rPr>
          <t>jubilado y empleado en relación de dependencia</t>
        </r>
        <r>
          <rPr>
            <b/>
            <sz val="9"/>
            <color indexed="81"/>
            <rFont val="Tahoma"/>
            <family val="2"/>
          </rPr>
          <t xml:space="preserve">-, deberá considerarse aquélla en la cual perciba los mayores ingresos.  
✓  En la liquidación anual o final, a efectos del cómputo de las deducciones incrementadas (22%), deberán verificarse las </t>
        </r>
        <r>
          <rPr>
            <b/>
            <u/>
            <sz val="9"/>
            <color indexed="81"/>
            <rFont val="Tahoma"/>
            <family val="2"/>
          </rPr>
          <t xml:space="preserve">condiciones </t>
        </r>
        <r>
          <rPr>
            <b/>
            <sz val="9"/>
            <color indexed="81"/>
            <rFont val="Tahoma"/>
            <family val="2"/>
          </rPr>
          <t xml:space="preserve">referidas en los incisos del párrafo precedente </t>
        </r>
        <r>
          <rPr>
            <b/>
            <u/>
            <sz val="9"/>
            <color indexed="81"/>
            <rFont val="Tahoma"/>
            <family val="2"/>
          </rPr>
          <t>en la mayor cantidad de meses del período fiscal</t>
        </r>
        <r>
          <rPr>
            <b/>
            <sz val="9"/>
            <color indexed="81"/>
            <rFont val="Tahoma"/>
            <family val="2"/>
          </rPr>
          <t xml:space="preserve"> que se liquida.
</t>
        </r>
      </text>
    </comment>
    <comment ref="B18" authorId="0" shapeId="0" xr:uid="{9A37CD9B-0B73-458C-A5E7-C48CE3A05F02}">
      <text>
        <r>
          <rPr>
            <sz val="9"/>
            <color indexed="81"/>
            <rFont val="Tahoma"/>
            <family val="2"/>
          </rPr>
          <t xml:space="preserve">La reglamentación establecerá el método para determinar los contribuyentes
alcanzados por este artículo y la forma de cálculo de la deducción especial prevista en el
párrafo anterior.
En ningún caso el cómputo de la deducción especial prevista en el presente artículo
dará lugar a la devolución de sumas retenidas y/o ingresadas en concepto de impuesto a las
ganancias por los contribuyentes alcanzados por las previsiones de este artículo.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Leandro Plano</author>
    <author>www.intercambiosvirtuales.org</author>
  </authors>
  <commentList>
    <comment ref="C2" authorId="0" shapeId="0" xr:uid="{00000000-0006-0000-0000-000001000000}">
      <text>
        <r>
          <rPr>
            <b/>
            <sz val="11"/>
            <color rgb="FF000000"/>
            <rFont val="Arial"/>
            <family val="2"/>
          </rPr>
          <t xml:space="preserve">Se debe </t>
        </r>
        <r>
          <rPr>
            <b/>
            <u/>
            <sz val="11"/>
            <color rgb="FF000000"/>
            <rFont val="Arial"/>
            <family val="2"/>
          </rPr>
          <t>colocar el 40%</t>
        </r>
        <r>
          <rPr>
            <b/>
            <sz val="11"/>
            <color rgb="FF000000"/>
            <rFont val="Arial"/>
            <family val="2"/>
          </rPr>
          <t xml:space="preserve"> del alquiler de tu vivienda.
Tal cual sale en SIRADIG.</t>
        </r>
      </text>
    </comment>
    <comment ref="C4" authorId="1" shapeId="0" xr:uid="{00000000-0006-0000-0000-000002000000}">
      <text>
        <r>
          <rPr>
            <b/>
            <sz val="11"/>
            <color indexed="81"/>
            <rFont val="Tahoma"/>
            <family val="2"/>
          </rPr>
          <t xml:space="preserve">Poner el importe total de los servs o herramientas, como se informó en SiRADIG-TRABAJADOR.
</t>
        </r>
        <r>
          <rPr>
            <sz val="11"/>
            <color indexed="81"/>
            <rFont val="Tahoma"/>
            <family val="2"/>
          </rPr>
          <t xml:space="preserve">(la planilla calcula automaticamente el tope del 40% GNI en la liquidación del impuesto). 
</t>
        </r>
      </text>
    </comment>
    <comment ref="C8" authorId="1" shapeId="0" xr:uid="{ABC6817A-383F-47B2-B12B-A9280209C289}">
      <text>
        <r>
          <rPr>
            <b/>
            <u/>
            <sz val="12"/>
            <color indexed="81"/>
            <rFont val="Tahoma"/>
            <family val="2"/>
          </rPr>
          <t>No se utiliza. Sin reglamentar !!!</t>
        </r>
        <r>
          <rPr>
            <sz val="9"/>
            <color indexed="81"/>
            <rFont val="Tahoma"/>
            <family val="2"/>
          </rPr>
          <t xml:space="preserve">
</t>
        </r>
      </text>
    </comment>
    <comment ref="C10" authorId="2" shapeId="0" xr:uid="{00000000-0006-0000-0000-000003000000}">
      <text>
        <r>
          <rPr>
            <b/>
            <sz val="9"/>
            <color indexed="81"/>
            <rFont val="Tahoma"/>
            <family val="2"/>
          </rPr>
          <t>Aquí se pone directamente el LIMITE, es uno por cada carga de familia fallecida.</t>
        </r>
        <r>
          <rPr>
            <sz val="9"/>
            <color indexed="81"/>
            <rFont val="Tahoma"/>
            <family val="2"/>
          </rPr>
          <t xml:space="preserve">
</t>
        </r>
      </text>
    </comment>
    <comment ref="D10" authorId="2" shapeId="0" xr:uid="{00000000-0006-0000-0000-000004000000}">
      <text>
        <r>
          <rPr>
            <b/>
            <sz val="9"/>
            <color indexed="81"/>
            <rFont val="Tahoma"/>
            <family val="2"/>
          </rPr>
          <t>Aquí se pone directamente el LIMITE, es uno por cada carga de familia fallecida.</t>
        </r>
        <r>
          <rPr>
            <sz val="9"/>
            <color indexed="81"/>
            <rFont val="Tahoma"/>
            <family val="2"/>
          </rPr>
          <t xml:space="preserve">
</t>
        </r>
      </text>
    </comment>
    <comment ref="E10" authorId="2" shapeId="0" xr:uid="{00000000-0006-0000-0000-000005000000}">
      <text>
        <r>
          <rPr>
            <b/>
            <sz val="9"/>
            <color indexed="81"/>
            <rFont val="Tahoma"/>
            <family val="2"/>
          </rPr>
          <t>Aquí se pone directamente el LIMITE, es uno por cada carga de familia fallecida.</t>
        </r>
        <r>
          <rPr>
            <sz val="9"/>
            <color indexed="81"/>
            <rFont val="Tahoma"/>
            <family val="2"/>
          </rPr>
          <t xml:space="preserve">
</t>
        </r>
      </text>
    </comment>
    <comment ref="F10" authorId="2" shapeId="0" xr:uid="{00000000-0006-0000-0000-000006000000}">
      <text>
        <r>
          <rPr>
            <b/>
            <sz val="9"/>
            <color indexed="81"/>
            <rFont val="Tahoma"/>
            <family val="2"/>
          </rPr>
          <t>Aquí se pone directamente el LIMITE, es uno por cada carga de familia fallecida.</t>
        </r>
        <r>
          <rPr>
            <sz val="9"/>
            <color indexed="81"/>
            <rFont val="Tahoma"/>
            <family val="2"/>
          </rPr>
          <t xml:space="preserve">
</t>
        </r>
      </text>
    </comment>
    <comment ref="G10" authorId="2" shapeId="0" xr:uid="{00000000-0006-0000-0000-000007000000}">
      <text>
        <r>
          <rPr>
            <b/>
            <sz val="9"/>
            <color indexed="81"/>
            <rFont val="Tahoma"/>
            <family val="2"/>
          </rPr>
          <t>Aquí se pone directamente el LIMITE, es uno por cada carga de familia fallecida.</t>
        </r>
        <r>
          <rPr>
            <sz val="9"/>
            <color indexed="81"/>
            <rFont val="Tahoma"/>
            <family val="2"/>
          </rPr>
          <t xml:space="preserve">
</t>
        </r>
      </text>
    </comment>
    <comment ref="H10" authorId="2" shapeId="0" xr:uid="{00000000-0006-0000-0000-000008000000}">
      <text>
        <r>
          <rPr>
            <b/>
            <sz val="9"/>
            <color indexed="81"/>
            <rFont val="Tahoma"/>
            <family val="2"/>
          </rPr>
          <t>Aquí se pone directamente el LIMITE, es uno por cada carga de familia fallecida.</t>
        </r>
        <r>
          <rPr>
            <sz val="9"/>
            <color indexed="81"/>
            <rFont val="Tahoma"/>
            <family val="2"/>
          </rPr>
          <t xml:space="preserve">
</t>
        </r>
      </text>
    </comment>
    <comment ref="I10" authorId="2" shapeId="0" xr:uid="{00000000-0006-0000-0000-000009000000}">
      <text>
        <r>
          <rPr>
            <b/>
            <sz val="9"/>
            <color indexed="81"/>
            <rFont val="Tahoma"/>
            <family val="2"/>
          </rPr>
          <t>Aquí se pone directamente el LIMITE, es uno por cada carga de familia fallecida.</t>
        </r>
        <r>
          <rPr>
            <sz val="9"/>
            <color indexed="81"/>
            <rFont val="Tahoma"/>
            <family val="2"/>
          </rPr>
          <t xml:space="preserve">
</t>
        </r>
      </text>
    </comment>
    <comment ref="J10" authorId="2" shapeId="0" xr:uid="{00000000-0006-0000-0000-00000A000000}">
      <text>
        <r>
          <rPr>
            <b/>
            <sz val="9"/>
            <color indexed="81"/>
            <rFont val="Tahoma"/>
            <family val="2"/>
          </rPr>
          <t>Aquí se pone directamente el LIMITE, es uno por cada carga de familia fallecida.</t>
        </r>
        <r>
          <rPr>
            <sz val="9"/>
            <color indexed="81"/>
            <rFont val="Tahoma"/>
            <family val="2"/>
          </rPr>
          <t xml:space="preserve">
</t>
        </r>
      </text>
    </comment>
    <comment ref="K10" authorId="2" shapeId="0" xr:uid="{00000000-0006-0000-0000-00000B000000}">
      <text>
        <r>
          <rPr>
            <b/>
            <sz val="9"/>
            <color indexed="81"/>
            <rFont val="Tahoma"/>
            <family val="2"/>
          </rPr>
          <t>Aquí se pone directamente el LIMITE, es uno por cada carga de familia fallecida.</t>
        </r>
        <r>
          <rPr>
            <sz val="9"/>
            <color indexed="81"/>
            <rFont val="Tahoma"/>
            <family val="2"/>
          </rPr>
          <t xml:space="preserve">
</t>
        </r>
      </text>
    </comment>
    <comment ref="L10" authorId="2" shapeId="0" xr:uid="{00000000-0006-0000-0000-00000C000000}">
      <text>
        <r>
          <rPr>
            <b/>
            <sz val="9"/>
            <color indexed="81"/>
            <rFont val="Tahoma"/>
            <family val="2"/>
          </rPr>
          <t>Aquí se pone directamente el LIMITE, es uno por cada carga de familia fallecida.</t>
        </r>
        <r>
          <rPr>
            <sz val="9"/>
            <color indexed="81"/>
            <rFont val="Tahoma"/>
            <family val="2"/>
          </rPr>
          <t xml:space="preserve">
</t>
        </r>
      </text>
    </comment>
    <comment ref="M10" authorId="2" shapeId="0" xr:uid="{00000000-0006-0000-0000-00000D000000}">
      <text>
        <r>
          <rPr>
            <b/>
            <sz val="9"/>
            <color indexed="81"/>
            <rFont val="Tahoma"/>
            <family val="2"/>
          </rPr>
          <t>Aquí se pone directamente el LIMITE, es uno por cada carga de familia fallecida.</t>
        </r>
        <r>
          <rPr>
            <sz val="9"/>
            <color indexed="81"/>
            <rFont val="Tahoma"/>
            <family val="2"/>
          </rPr>
          <t xml:space="preserve">
</t>
        </r>
      </text>
    </comment>
    <comment ref="N10" authorId="2" shapeId="0" xr:uid="{00000000-0006-0000-0000-00000E000000}">
      <text>
        <r>
          <rPr>
            <b/>
            <sz val="9"/>
            <color indexed="81"/>
            <rFont val="Tahoma"/>
            <family val="2"/>
          </rPr>
          <t>Aquí se pone directamente el LIMITE, es uno por cada carga de familia fallecida.</t>
        </r>
        <r>
          <rPr>
            <sz val="9"/>
            <color indexed="81"/>
            <rFont val="Tahoma"/>
            <family val="2"/>
          </rPr>
          <t xml:space="preserve">
</t>
        </r>
      </text>
    </comment>
    <comment ref="O10" authorId="2" shapeId="0" xr:uid="{00000000-0006-0000-0000-00000F000000}">
      <text>
        <r>
          <rPr>
            <b/>
            <sz val="9"/>
            <color indexed="81"/>
            <rFont val="Tahoma"/>
            <family val="2"/>
          </rPr>
          <t>Aquí se pone directamente el LIMITE, es uno por cada carga de familia fallecida.</t>
        </r>
        <r>
          <rPr>
            <sz val="9"/>
            <color indexed="81"/>
            <rFont val="Tahoma"/>
            <family val="2"/>
          </rPr>
          <t xml:space="preserve">
</t>
        </r>
      </text>
    </comment>
    <comment ref="C11" authorId="1" shapeId="0" xr:uid="{00000000-0006-0000-0000-000010000000}">
      <text>
        <r>
          <rPr>
            <b/>
            <sz val="9"/>
            <color indexed="81"/>
            <rFont val="Tahoma"/>
            <family val="2"/>
          </rPr>
          <t xml:space="preserve">c) Importes que se destinen a cuotas o abonos a instituciones que presten cobertura médico asistencial, correspondientes al beneficiario y a las personas que revistan para el mismo el carácter de </t>
        </r>
        <r>
          <rPr>
            <b/>
            <u/>
            <sz val="9"/>
            <color indexed="81"/>
            <rFont val="Tahoma"/>
            <family val="2"/>
          </rPr>
          <t>cargas</t>
        </r>
        <r>
          <rPr>
            <b/>
            <sz val="9"/>
            <color indexed="81"/>
            <rFont val="Tahoma"/>
            <family val="2"/>
          </rPr>
          <t xml:space="preserve"> de familia, de acuerdo con lo dispuesto por el inciso b) del Artículo 30 de la Ley de Impuesto a las Ganancias, texto ordenado en 2019 y sus modificaciones.
El importe a deducir por dichos conceptos no podrá superar el 5% de la ganancia neta del ejercicio acumulada hasta el mes que se liquida, determinada antes de su cómputo y el de los conceptos indicados en la Ley de Impuesto a las Ganancias, texto ordenado en 2019 y sus modificaciones, en su artículo 85 incisos c) y g), así como de los quebrantos de años anteriores y, cuando corresponda, de las sumas a que se refiere el Artículo 30 de dicha ley.</t>
        </r>
        <r>
          <rPr>
            <sz val="9"/>
            <color indexed="81"/>
            <rFont val="Tahoma"/>
            <family val="2"/>
          </rPr>
          <t xml:space="preserve">
</t>
        </r>
      </text>
    </comment>
    <comment ref="C12" authorId="0" shapeId="0" xr:uid="{00000000-0006-0000-0000-000011000000}">
      <text>
        <r>
          <rPr>
            <b/>
            <sz val="11"/>
            <color rgb="FF000000"/>
            <rFont val="Arial"/>
            <family val="2"/>
          </rPr>
          <t xml:space="preserve">Se debe </t>
        </r>
        <r>
          <rPr>
            <b/>
            <u/>
            <sz val="11"/>
            <color rgb="FF000000"/>
            <rFont val="Arial"/>
            <family val="2"/>
          </rPr>
          <t>colocar el 40%</t>
        </r>
        <r>
          <rPr>
            <b/>
            <sz val="11"/>
            <color rgb="FF000000"/>
            <rFont val="Arial"/>
            <family val="2"/>
          </rPr>
          <t xml:space="preserve"> del importe facturado y no reintegrado.
Tal cual sale en SIRADIG.</t>
        </r>
        <r>
          <rPr>
            <sz val="10"/>
            <color rgb="FF000000"/>
            <rFont val="Arial"/>
            <family val="2"/>
          </rPr>
          <t xml:space="preserve">
</t>
        </r>
      </text>
    </comment>
    <comment ref="C14" authorId="1" shapeId="0" xr:uid="{00000000-0006-0000-0000-000012000000}">
      <text>
        <r>
          <rPr>
            <b/>
            <sz val="9"/>
            <color indexed="81"/>
            <rFont val="Tahoma"/>
            <family val="2"/>
          </rPr>
          <t xml:space="preserve">q) </t>
        </r>
        <r>
          <rPr>
            <b/>
            <u/>
            <sz val="9"/>
            <color indexed="81"/>
            <rFont val="Tahoma"/>
            <family val="2"/>
          </rPr>
          <t>Gastos realizados por la adquisición de indumentaria y/o equipamiento para uso exclusivo en el lugar de trabajo con carácter obligatorio</t>
        </r>
        <r>
          <rPr>
            <b/>
            <sz val="9"/>
            <color indexed="81"/>
            <rFont val="Tahoma"/>
            <family val="2"/>
          </rPr>
          <t xml:space="preserve"> y que, debiendo ser provistos por el empleador, hubieran sido adquiridos por el empleado en virtud de los usos y costumbres de la actividad en cuestión, y cuyos </t>
        </r>
        <r>
          <rPr>
            <b/>
            <u/>
            <sz val="9"/>
            <color indexed="81"/>
            <rFont val="Tahoma"/>
            <family val="2"/>
          </rPr>
          <t>costos no fueron reintegrados</t>
        </r>
        <r>
          <rPr>
            <b/>
            <sz val="9"/>
            <color indexed="81"/>
            <rFont val="Tahoma"/>
            <family val="2"/>
          </rPr>
          <t xml:space="preserve">.
 Por la modalidad de “home-office”, la adquisición de una computadora que se usa para trabajar podría considerarse como un gasto en equipamiento necesario para trabajar.
</t>
        </r>
        <r>
          <rPr>
            <sz val="9"/>
            <color indexed="81"/>
            <rFont val="Tahoma"/>
            <family val="2"/>
          </rPr>
          <t xml:space="preserve">
</t>
        </r>
      </text>
    </comment>
    <comment ref="C15" authorId="1" shapeId="0" xr:uid="{00000000-0006-0000-0000-000013000000}">
      <text>
        <r>
          <rPr>
            <b/>
            <u/>
            <sz val="9"/>
            <color indexed="81"/>
            <rFont val="Tahoma"/>
            <family val="2"/>
          </rPr>
          <t>Aportes efectuados por los socios protectores a Sociedades de Garantía Recíproca - Reintegro de aportes de socios protectores a Sociedades de Garantía Recíproca</t>
        </r>
        <r>
          <rPr>
            <b/>
            <sz val="9"/>
            <color indexed="81"/>
            <rFont val="Tahoma"/>
            <family val="2"/>
          </rPr>
          <t xml:space="preserve">
Los aportes serán deducibles en el ejercicio fiscal en el cual se efectivicen, siempre que esos aportes se mantengan en la sociedad por el plazo mínimo de dos años calendario, contados a partir de la fecha de su efectivización.
La deducción operará por el 100% del aporte efectuado y no deberá superar ese porcentaje en ningún caso. El grado de utilización del fondo de riesgo en el otorgamiento de garantía deberá ser como mínimo del 80 % como promedio en el período de permanencia de los aportes.
En este apartado se debe informar la CUIT de la sociedad y los aportes efectuados durante el año calendario que se está declarando. Se puede brindar esta información desde la solapa “deducciones y desgravaciones” y también desde la solapa “ajustes”.</t>
        </r>
        <r>
          <rPr>
            <sz val="9"/>
            <color indexed="81"/>
            <rFont val="Tahoma"/>
            <family val="2"/>
          </rPr>
          <t xml:space="preserve">
</t>
        </r>
      </text>
    </comment>
    <comment ref="C18" authorId="1" shapeId="0" xr:uid="{00000000-0006-0000-0000-000014000000}">
      <text>
        <r>
          <rPr>
            <b/>
            <sz val="9"/>
            <color indexed="81"/>
            <rFont val="Tahoma"/>
            <family val="2"/>
          </rPr>
          <t>Aportes para fondos de Jubilación, Retiros, Pensiones o Subsidios destinados al ANSES</t>
        </r>
      </text>
    </comment>
    <comment ref="C20" authorId="1" shapeId="0" xr:uid="{BAE90CA4-F153-4AB4-BC6E-86E12FD23465}">
      <text>
        <r>
          <rPr>
            <b/>
            <sz val="9"/>
            <color indexed="81"/>
            <rFont val="Tahoma"/>
            <family val="2"/>
          </rPr>
          <t>Colocar como sale en el SIRADIG, ya viene con el tope del 10% del importe del alquiler de casa habitación</t>
        </r>
        <r>
          <rPr>
            <sz val="9"/>
            <color indexed="81"/>
            <rFont val="Tahoma"/>
            <family val="2"/>
          </rPr>
          <t xml:space="preserve">.
</t>
        </r>
      </text>
    </comment>
    <comment ref="C21" authorId="1" shapeId="0" xr:uid="{ECABD6BA-F414-42B6-8A5A-7B7D14DBBDB7}">
      <text>
        <r>
          <rPr>
            <b/>
            <sz val="9"/>
            <color indexed="81"/>
            <rFont val="Tahoma"/>
            <family val="2"/>
          </rPr>
          <t>Colocar como sale en el SIRADIG, ya viene con el tope del 10% del importe del alquiler de casa habitación</t>
        </r>
        <r>
          <rPr>
            <sz val="9"/>
            <color indexed="81"/>
            <rFont val="Tahoma"/>
            <family val="2"/>
          </rPr>
          <t xml:space="preserve">.
</t>
        </r>
      </text>
    </comment>
    <comment ref="C25" authorId="1" shapeId="0" xr:uid="{00000000-0006-0000-0000-000015000000}">
      <text>
        <r>
          <rPr>
            <b/>
            <sz val="9"/>
            <color indexed="81"/>
            <rFont val="Tahoma"/>
            <family val="2"/>
          </rPr>
          <t>E- DEDUCCIONES PERSONALES. ARTÍCULO 30.- 
"</t>
        </r>
        <r>
          <rPr>
            <b/>
            <u/>
            <sz val="14"/>
            <color indexed="81"/>
            <rFont val="Tw Cen MT Condensed Extra Bold"/>
            <family val="2"/>
          </rPr>
          <t>CARGAS DE FAMILIA</t>
        </r>
        <r>
          <rPr>
            <b/>
            <sz val="9"/>
            <color indexed="81"/>
            <rFont val="Tahoma"/>
            <family val="2"/>
          </rPr>
          <t xml:space="preserve">":
Las personas humanas tendrán derecho a deducir de sus ganancias netas:
b) En concepto de cargas de familia, </t>
        </r>
        <r>
          <rPr>
            <b/>
            <sz val="10"/>
            <color indexed="81"/>
            <rFont val="Tahoma"/>
            <family val="2"/>
          </rPr>
          <t>siempre que</t>
        </r>
        <r>
          <rPr>
            <b/>
            <sz val="9"/>
            <color indexed="81"/>
            <rFont val="Tahoma"/>
            <family val="2"/>
          </rPr>
          <t xml:space="preserve"> las personas que se indican sean </t>
        </r>
        <r>
          <rPr>
            <b/>
            <u/>
            <sz val="9"/>
            <color indexed="81"/>
            <rFont val="Tahoma"/>
            <family val="2"/>
          </rPr>
          <t>residentes</t>
        </r>
        <r>
          <rPr>
            <b/>
            <sz val="9"/>
            <color indexed="81"/>
            <rFont val="Tahoma"/>
            <family val="2"/>
          </rPr>
          <t xml:space="preserve"> en el país, estén </t>
        </r>
        <r>
          <rPr>
            <b/>
            <u/>
            <sz val="9"/>
            <color indexed="81"/>
            <rFont val="Tahoma"/>
            <family val="2"/>
          </rPr>
          <t>a cargo</t>
        </r>
        <r>
          <rPr>
            <b/>
            <sz val="9"/>
            <color indexed="81"/>
            <rFont val="Tahoma"/>
            <family val="2"/>
          </rPr>
          <t xml:space="preserve"> del contribuyente </t>
        </r>
        <r>
          <rPr>
            <b/>
            <u/>
            <sz val="9"/>
            <color indexed="81"/>
            <rFont val="Tahoma"/>
            <family val="2"/>
          </rPr>
          <t>y</t>
        </r>
        <r>
          <rPr>
            <b/>
            <sz val="9"/>
            <color indexed="81"/>
            <rFont val="Tahoma"/>
            <family val="2"/>
          </rPr>
          <t xml:space="preserve"> no tengan en el año </t>
        </r>
        <r>
          <rPr>
            <b/>
            <u/>
            <sz val="9"/>
            <color indexed="81"/>
            <rFont val="Tahoma"/>
            <family val="2"/>
          </rPr>
          <t>ingresos netos superiores</t>
        </r>
        <r>
          <rPr>
            <b/>
            <sz val="9"/>
            <color indexed="81"/>
            <rFont val="Tahoma"/>
            <family val="2"/>
          </rPr>
          <t xml:space="preserve"> al importe de la </t>
        </r>
        <r>
          <rPr>
            <b/>
            <u/>
            <sz val="9"/>
            <color indexed="81"/>
            <rFont val="Tahoma"/>
            <family val="2"/>
          </rPr>
          <t>GNI</t>
        </r>
        <r>
          <rPr>
            <b/>
            <sz val="9"/>
            <color indexed="81"/>
            <rFont val="Tahoma"/>
            <family val="2"/>
          </rPr>
          <t xml:space="preserve">, cualquiera sea su origen y estén o no sujetas al impuesto:
</t>
        </r>
        <r>
          <rPr>
            <sz val="9"/>
            <color indexed="81"/>
            <rFont val="Tahoma"/>
            <family val="2"/>
          </rPr>
          <t xml:space="preserve">
</t>
        </r>
        <r>
          <rPr>
            <b/>
            <sz val="9"/>
            <color indexed="81"/>
            <rFont val="Tahoma"/>
            <family val="2"/>
          </rPr>
          <t xml:space="preserve">✓  Cómputo de las deducciones (Art. 31 LIG) </t>
        </r>
        <r>
          <rPr>
            <sz val="9"/>
            <color indexed="81"/>
            <rFont val="Tahoma"/>
            <family val="2"/>
          </rPr>
          <t xml:space="preserve">
Las deducciones por cargas de familia se harán efectivas </t>
        </r>
        <r>
          <rPr>
            <u/>
            <sz val="9"/>
            <color indexed="81"/>
            <rFont val="Tahoma"/>
            <family val="2"/>
          </rPr>
          <t>por períodos mensuales</t>
        </r>
        <r>
          <rPr>
            <sz val="9"/>
            <color indexed="81"/>
            <rFont val="Tahoma"/>
            <family val="2"/>
          </rPr>
          <t xml:space="preserve">, computándose todo el mes en que ocurran o cesen las causas que determinen su cómputo (nacimiento, casamiento, defunción,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Leandro Plano</author>
    <author/>
    <author>neli</author>
    <author>www.intercambiosvirtuales.org</author>
  </authors>
  <commentList>
    <comment ref="A2" authorId="0" shapeId="0" xr:uid="{00000000-0006-0000-0100-000002000000}">
      <text>
        <r>
          <rPr>
            <b/>
            <u/>
            <sz val="10"/>
            <color indexed="81"/>
            <rFont val="Tahoma"/>
            <family val="2"/>
          </rPr>
          <t>SÍ</t>
        </r>
        <r>
          <rPr>
            <b/>
            <sz val="9"/>
            <color indexed="81"/>
            <rFont val="Tahoma"/>
            <family val="2"/>
          </rPr>
          <t xml:space="preserve">: si se paga dentro del mes de devengamiento, ejemplo enero se paga hasta 31/01.
Este dato es para calcular la base imponible maxima para los aportes (jub, INSSJP y O.Soc); y para el punto de partida cuando el PEN decrete un incremento en las Ded Especiales Incrementadas para eximir del impuesto (Grupo 1) o para morigerar su impacto (Grupo 2)
</t>
        </r>
        <r>
          <rPr>
            <sz val="9"/>
            <color indexed="81"/>
            <rFont val="Tahoma"/>
            <family val="2"/>
          </rPr>
          <t xml:space="preserve">
</t>
        </r>
      </text>
    </comment>
    <comment ref="A4" authorId="0" shapeId="0" xr:uid="{00000000-0006-0000-0100-000003000000}">
      <text>
        <r>
          <rPr>
            <b/>
            <sz val="9"/>
            <color indexed="81"/>
            <rFont val="Tahoma"/>
            <family val="2"/>
          </rPr>
          <t xml:space="preserve">Una aclaración importante, la mecánica de liquidación para la cuarta categoría es POR LO </t>
        </r>
        <r>
          <rPr>
            <b/>
            <u/>
            <sz val="9"/>
            <color indexed="81"/>
            <rFont val="Tahoma"/>
            <family val="2"/>
          </rPr>
          <t>PERCIBIDO</t>
        </r>
        <r>
          <rPr>
            <b/>
            <sz val="9"/>
            <color indexed="81"/>
            <rFont val="Tahoma"/>
            <family val="2"/>
          </rPr>
          <t xml:space="preserve">, por ende en cada una de las columnas de MESES (enero a diciembre) se deben ir completando según el </t>
        </r>
        <r>
          <rPr>
            <b/>
            <u/>
            <sz val="9"/>
            <color indexed="81"/>
            <rFont val="Tahoma"/>
            <family val="2"/>
          </rPr>
          <t>PAGO</t>
        </r>
        <r>
          <rPr>
            <b/>
            <sz val="9"/>
            <color indexed="81"/>
            <rFont val="Tahoma"/>
            <family val="2"/>
          </rPr>
          <t xml:space="preserve"> de los Sueldos. 
</t>
        </r>
        <r>
          <rPr>
            <b/>
            <u/>
            <sz val="9"/>
            <color indexed="81"/>
            <rFont val="Tahoma"/>
            <family val="2"/>
          </rPr>
          <t>Ejemplo</t>
        </r>
        <r>
          <rPr>
            <b/>
            <sz val="9"/>
            <color indexed="81"/>
            <rFont val="Tahoma"/>
            <family val="2"/>
          </rPr>
          <t xml:space="preserve">, Sueldos devengados 12/2022 se pagaron el día </t>
        </r>
        <r>
          <rPr>
            <b/>
            <u/>
            <sz val="9"/>
            <color indexed="81"/>
            <rFont val="Tahoma"/>
            <family val="2"/>
          </rPr>
          <t>03/01/2023</t>
        </r>
        <r>
          <rPr>
            <b/>
            <sz val="9"/>
            <color indexed="81"/>
            <rFont val="Tahoma"/>
            <family val="2"/>
          </rPr>
          <t>, toda esa información (remun, deducciones, etc) se debe plasmar en la columna “</t>
        </r>
        <r>
          <rPr>
            <b/>
            <u/>
            <sz val="9"/>
            <color indexed="81"/>
            <rFont val="Tahoma"/>
            <family val="2"/>
          </rPr>
          <t>ENERO</t>
        </r>
        <r>
          <rPr>
            <b/>
            <sz val="9"/>
            <color indexed="81"/>
            <rFont val="Tahoma"/>
            <family val="2"/>
          </rPr>
          <t>”, ya que es la de su percepción (pago).</t>
        </r>
        <r>
          <rPr>
            <sz val="9"/>
            <color indexed="81"/>
            <rFont val="Tahoma"/>
            <family val="2"/>
          </rPr>
          <t xml:space="preserve">
</t>
        </r>
      </text>
    </comment>
    <comment ref="B4" authorId="0" shapeId="0" xr:uid="{00000000-0006-0000-0100-000004000000}">
      <text>
        <r>
          <rPr>
            <b/>
            <sz val="9"/>
            <color indexed="81"/>
            <rFont val="Tahoma"/>
            <family val="2"/>
          </rPr>
          <t>"H": es retribucion habitual.
"NH": es retribucion NO habitual y se proporciona.</t>
        </r>
        <r>
          <rPr>
            <sz val="9"/>
            <color indexed="81"/>
            <rFont val="Tahoma"/>
            <family val="2"/>
          </rPr>
          <t xml:space="preserve">
</t>
        </r>
      </text>
    </comment>
    <comment ref="C4" authorId="0" shapeId="0" xr:uid="{00000000-0006-0000-0100-000005000000}">
      <text>
        <r>
          <rPr>
            <b/>
            <sz val="9"/>
            <color indexed="81"/>
            <rFont val="Tahoma"/>
            <family val="2"/>
          </rPr>
          <t>Poner:
R :  si es Remunerativo.
NR: si es NO Remun.</t>
        </r>
        <r>
          <rPr>
            <sz val="9"/>
            <color indexed="81"/>
            <rFont val="Tahoma"/>
            <family val="2"/>
          </rPr>
          <t xml:space="preserve">
</t>
        </r>
      </text>
    </comment>
    <comment ref="A23" authorId="0" shapeId="0" xr:uid="{00000000-0006-0000-0100-000007000000}">
      <text>
        <r>
          <rPr>
            <b/>
            <sz val="9"/>
            <color indexed="81"/>
            <rFont val="Tahoma"/>
            <family val="2"/>
          </rPr>
          <t xml:space="preserve">En el caso de horas extras realizadas en días inhábiles, feriados y fines de semana, la </t>
        </r>
        <r>
          <rPr>
            <b/>
            <u/>
            <sz val="10"/>
            <color indexed="81"/>
            <rFont val="Tahoma"/>
            <family val="2"/>
          </rPr>
          <t>diferencia</t>
        </r>
        <r>
          <rPr>
            <b/>
            <sz val="9"/>
            <color indexed="81"/>
            <rFont val="Tahoma"/>
            <family val="2"/>
          </rPr>
          <t xml:space="preserve"> entre el valor de la hora extra y el valor de la hora normal se encuentra exenta de IG.
</t>
        </r>
        <r>
          <rPr>
            <b/>
            <i/>
            <u/>
            <sz val="11"/>
            <color indexed="81"/>
            <rFont val="Tahoma"/>
            <family val="2"/>
          </rPr>
          <t>Ejemplo</t>
        </r>
        <r>
          <rPr>
            <b/>
            <sz val="9"/>
            <color indexed="81"/>
            <rFont val="Tahoma"/>
            <family val="2"/>
          </rPr>
          <t>:
Hs extras 100%: $ 10.000
gravado: $ 5.000
exento: $ 5.000</t>
        </r>
      </text>
    </comment>
    <comment ref="A74" authorId="1" shapeId="0" xr:uid="{00000000-0006-0000-0100-000009000000}">
      <text>
        <r>
          <rPr>
            <sz val="10"/>
            <color rgb="FF000000"/>
            <rFont val="Arial"/>
            <family val="2"/>
          </rPr>
          <t>De los dos importes, se toma el "</t>
        </r>
        <r>
          <rPr>
            <b/>
            <u/>
            <sz val="9"/>
            <color rgb="FF000000"/>
            <rFont val="Tahoma"/>
            <family val="2"/>
            <charset val="1"/>
          </rPr>
          <t>MENOR</t>
        </r>
        <r>
          <rPr>
            <b/>
            <sz val="9"/>
            <color rgb="FF000000"/>
            <rFont val="Tahoma"/>
            <family val="2"/>
          </rPr>
          <t xml:space="preserve">", para determinar el GRUPO 1,2 ó 3.
</t>
        </r>
        <r>
          <rPr>
            <sz val="9"/>
            <color rgb="FF000000"/>
            <rFont val="Tahoma"/>
            <family val="2"/>
          </rPr>
          <t xml:space="preserve">
1) Grupo 1 (liq. "MENSUAL").
2) Grupo 2 (liq. "MENSUAL").</t>
        </r>
      </text>
    </comment>
    <comment ref="C93" authorId="0" shapeId="0" xr:uid="{00000000-0006-0000-0100-00000B000000}">
      <text>
        <r>
          <rPr>
            <b/>
            <sz val="9"/>
            <color indexed="81"/>
            <rFont val="Tahoma"/>
            <family val="2"/>
          </rPr>
          <t>% para calculo de Hs Extras gravadas "</t>
        </r>
        <r>
          <rPr>
            <b/>
            <u/>
            <sz val="9"/>
            <color indexed="81"/>
            <rFont val="Tahoma"/>
            <family val="2"/>
          </rPr>
          <t>netas</t>
        </r>
        <r>
          <rPr>
            <b/>
            <sz val="9"/>
            <color indexed="81"/>
            <rFont val="Tahoma"/>
            <family val="2"/>
          </rPr>
          <t>" de Pluriempleo, para no saltar de tramo de escala art 94º.</t>
        </r>
      </text>
    </comment>
    <comment ref="O101" authorId="0" shapeId="0" xr:uid="{991EABFE-5C4D-4276-BD9C-9DA5E5119CB2}">
      <text>
        <r>
          <rPr>
            <sz val="9"/>
            <color indexed="81"/>
            <rFont val="Tahoma"/>
            <family val="2"/>
          </rPr>
          <t xml:space="preserve">
Si paga los sueldos el </t>
        </r>
        <r>
          <rPr>
            <u/>
            <sz val="9"/>
            <color indexed="81"/>
            <rFont val="Tahoma"/>
            <family val="2"/>
          </rPr>
          <t>mes siguiente</t>
        </r>
        <r>
          <rPr>
            <sz val="9"/>
            <color indexed="81"/>
            <rFont val="Tahoma"/>
            <family val="2"/>
          </rPr>
          <t xml:space="preserve"> a su devengamiento, entonces el devengado diciembre, lo paga los primeros dias de ENERO, por ende en la columna enero pero del otro año se verá reflejado. 
Es por eso que en esta </t>
        </r>
        <r>
          <rPr>
            <u/>
            <sz val="9"/>
            <color indexed="81"/>
            <rFont val="Tahoma"/>
            <family val="2"/>
          </rPr>
          <t>celda</t>
        </r>
        <r>
          <rPr>
            <sz val="9"/>
            <color indexed="81"/>
            <rFont val="Tahoma"/>
            <family val="2"/>
          </rPr>
          <t xml:space="preserve"> los que pagan prox mes deben poner </t>
        </r>
        <r>
          <rPr>
            <u/>
            <sz val="9"/>
            <color indexed="81"/>
            <rFont val="Tahoma"/>
            <family val="2"/>
          </rPr>
          <t>A MANO</t>
        </r>
        <r>
          <rPr>
            <sz val="9"/>
            <color indexed="81"/>
            <rFont val="Tahoma"/>
            <family val="2"/>
          </rPr>
          <t xml:space="preserve"> la base de la mayor remun para Devengado diciembre, cambiando el importe al final de esta formula, el cero x el importe de la "base de calculo" para el SAC. 2º semestre.</t>
        </r>
      </text>
    </comment>
    <comment ref="I104" authorId="1" shapeId="0" xr:uid="{00000000-0006-0000-0100-00000C000000}">
      <text>
        <r>
          <rPr>
            <sz val="10"/>
            <color rgb="FF000000"/>
            <rFont val="Arial"/>
            <family val="2"/>
          </rPr>
          <t xml:space="preserve">La </t>
        </r>
        <r>
          <rPr>
            <b/>
            <u/>
            <sz val="9"/>
            <color rgb="FF000000"/>
            <rFont val="Tahoma"/>
            <family val="2"/>
            <charset val="1"/>
          </rPr>
          <t>exención</t>
        </r>
        <r>
          <rPr>
            <b/>
            <sz val="9"/>
            <color rgb="FF000000"/>
            <rFont val="Tahoma"/>
            <family val="2"/>
            <charset val="1"/>
          </rPr>
          <t xml:space="preserve"> del Sueldo Anual Complementario</t>
        </r>
        <r>
          <rPr>
            <b/>
            <u/>
            <sz val="9"/>
            <color rgb="FF000000"/>
            <rFont val="Tahoma"/>
            <family val="2"/>
            <charset val="1"/>
          </rPr>
          <t xml:space="preserve"> no podrá exceder</t>
        </r>
        <r>
          <rPr>
            <b/>
            <sz val="9"/>
            <color rgb="FF000000"/>
            <rFont val="Tahoma"/>
            <family val="2"/>
            <charset val="1"/>
          </rPr>
          <t xml:space="preserve"> el importe que resulte </t>
        </r>
        <r>
          <rPr>
            <b/>
            <u/>
            <sz val="9"/>
            <color rgb="FF000000"/>
            <rFont val="Tahoma"/>
            <family val="2"/>
            <charset val="1"/>
          </rPr>
          <t>de determinarlo</t>
        </r>
        <r>
          <rPr>
            <b/>
            <sz val="9"/>
            <color rgb="FF000000"/>
            <rFont val="Tahoma"/>
            <family val="2"/>
            <charset val="1"/>
          </rPr>
          <t xml:space="preserve"> de conformidad con la remuneración indicada en el inciso z) del artículo 26 de la ley del impuesto.
O sea, $ RB art 26 z) junio  x 50% x 180/180 = $ 
</t>
        </r>
      </text>
    </comment>
    <comment ref="O104" authorId="1" shapeId="0" xr:uid="{00000000-0006-0000-0100-00000D000000}">
      <text>
        <r>
          <rPr>
            <sz val="10"/>
            <color rgb="FF000000"/>
            <rFont val="Arial"/>
            <family val="2"/>
          </rPr>
          <t>La exención del Sueldo Anual Complementario no podrá exceder el importe que resulte de determinarlo de conformidad con la remuneración indicada en el inciso z) del artículo 26 de la ley del impuesto.
O sea,</t>
        </r>
        <r>
          <rPr>
            <b/>
            <sz val="10"/>
            <color rgb="FF000000"/>
            <rFont val="Arial"/>
            <family val="2"/>
          </rPr>
          <t xml:space="preserve"> $ RB art 26 z) diciembre  x 50% x 180/180 = $ </t>
        </r>
        <r>
          <rPr>
            <sz val="10"/>
            <color rgb="FF000000"/>
            <rFont val="Arial"/>
            <family val="2"/>
          </rPr>
          <t xml:space="preserve">
</t>
        </r>
      </text>
    </comment>
    <comment ref="A140" authorId="0" shapeId="0" xr:uid="{00000000-0006-0000-0100-000010000000}">
      <text>
        <r>
          <rPr>
            <b/>
            <sz val="9"/>
            <color indexed="81"/>
            <rFont val="Tahoma"/>
            <family val="2"/>
          </rPr>
          <t xml:space="preserve">En el caso de horas extras realizadas en días inhábiles, feriados y fines de semana, la </t>
        </r>
        <r>
          <rPr>
            <b/>
            <u/>
            <sz val="10"/>
            <color indexed="81"/>
            <rFont val="Tahoma"/>
            <family val="2"/>
          </rPr>
          <t>diferencia</t>
        </r>
        <r>
          <rPr>
            <b/>
            <sz val="9"/>
            <color indexed="81"/>
            <rFont val="Tahoma"/>
            <family val="2"/>
          </rPr>
          <t xml:space="preserve"> entre el valor de la hora extra y el valor de la hora normal se encuentra exenta de IG.
</t>
        </r>
        <r>
          <rPr>
            <b/>
            <i/>
            <u/>
            <sz val="11"/>
            <color indexed="81"/>
            <rFont val="Tahoma"/>
            <family val="2"/>
          </rPr>
          <t>Ejemplo</t>
        </r>
        <r>
          <rPr>
            <b/>
            <sz val="9"/>
            <color indexed="81"/>
            <rFont val="Tahoma"/>
            <family val="2"/>
          </rPr>
          <t>:
Hs extras 100%: $ 10.000
gravado: $ 5.000
exento: $ 5.000</t>
        </r>
      </text>
    </comment>
    <comment ref="A193" authorId="1" shapeId="0" xr:uid="{00000000-0006-0000-0100-000011000000}">
      <text>
        <r>
          <rPr>
            <b/>
            <sz val="9"/>
            <color rgb="FF000000"/>
            <rFont val="Tahoma"/>
            <family val="2"/>
            <charset val="1"/>
          </rPr>
          <t xml:space="preserve">C - Sueldo Anual Complementario (SAC) gravado.
Los agentes de retención deberán adicionar a la ganancia bruta de cada mes calendario determinada conforme el Apartado A y, en su caso, a las retribuciones no habituales previstas en el Apartado B, una doceava parte de la suma de tales ganancias en concepto de Sueldo Anual Complementario para la determinación del importe a retener en dicho mes.
Asimismo, detraerán una doceava parte de las deducciones a computar en dicho mes, en concepto de deducciones del Sueldo Anual Complementario.
En los meses en que se abonen las cuotas del Sueldo Anual Complementario, el empleador podrá optar por:
a) Considerar los importes realmente abonados por dichas cuotas y las deducciones que corresponda practicar sobre las mismas, en sustitución de las doceavas partes computadas en los meses del período fiscal de que se trate, transcurridos hasta el pago de tales conceptos.
b) Utilizar la metodología mencionada en los párrafos anteriores y, luego, en la liquidación anual o final, según corresponda, efectuada conforme el Artículo 21, considerar el Sueldo Anual Complementario percibido en el período fiscal y las deducciones correspondientes a los conceptos informados por el beneficiario de las rentas, en reemplazo de las doceavas partes computadas en cada mes.
</t>
        </r>
      </text>
    </comment>
    <comment ref="P255" authorId="1" shapeId="0" xr:uid="{00000000-0006-0000-0100-000017000000}">
      <text>
        <r>
          <rPr>
            <sz val="10"/>
            <color rgb="FF000000"/>
            <rFont val="Arial"/>
            <family val="2"/>
          </rPr>
          <t xml:space="preserve">NO BORRAR!!!!
</t>
        </r>
      </text>
    </comment>
    <comment ref="P256" authorId="0" shapeId="0" xr:uid="{AEEFC36D-C116-4B4A-934B-96CB7FC04CCE}">
      <text>
        <r>
          <rPr>
            <b/>
            <sz val="9"/>
            <color indexed="81"/>
            <rFont val="Tahoma"/>
            <family val="2"/>
          </rPr>
          <t>Puede variar la deducción, debido al tope del 5% de la GN acum, según se reemplace el SAC Gravado Real por lo prorrateado, en los meses de pago de SAC o en el Ajuste en la liq anual.</t>
        </r>
        <r>
          <rPr>
            <sz val="9"/>
            <color indexed="81"/>
            <rFont val="Tahoma"/>
            <family val="2"/>
          </rPr>
          <t xml:space="preserve">
</t>
        </r>
      </text>
    </comment>
    <comment ref="P257" authorId="0" shapeId="0" xr:uid="{CEDB441D-7B37-4320-B291-8DBCF80E4491}">
      <text>
        <r>
          <rPr>
            <b/>
            <sz val="9"/>
            <color indexed="81"/>
            <rFont val="Tahoma"/>
            <family val="2"/>
          </rPr>
          <t>Puede variar la deducción, debido al tope del 5% de la GN acum, según se reemplace el SAC Gravado Real por lo prorrateado, en los meses de pago de SAC o en el Ajuste en la liq anual.</t>
        </r>
        <r>
          <rPr>
            <sz val="9"/>
            <color indexed="81"/>
            <rFont val="Tahoma"/>
            <family val="2"/>
          </rPr>
          <t xml:space="preserve">
</t>
        </r>
      </text>
    </comment>
    <comment ref="P258" authorId="0" shapeId="0" xr:uid="{F2EEBD1A-6BFB-4251-AEFC-0AECDAD1ECE6}">
      <text>
        <r>
          <rPr>
            <b/>
            <sz val="9"/>
            <color indexed="81"/>
            <rFont val="Tahoma"/>
            <family val="2"/>
          </rPr>
          <t>Puede variar la deducción, debido al tope del 5% de la GN acum, según se reemplace el SAC Gravado Real por lo prorrateado, en los meses de pago de SAC o en el Ajuste en la liq anual.</t>
        </r>
        <r>
          <rPr>
            <sz val="9"/>
            <color indexed="81"/>
            <rFont val="Tahoma"/>
            <family val="2"/>
          </rPr>
          <t xml:space="preserve">
</t>
        </r>
      </text>
    </comment>
    <comment ref="A291" authorId="0" shapeId="0" xr:uid="{00000000-0006-0000-0100-000019000000}">
      <text>
        <r>
          <rPr>
            <b/>
            <sz val="9"/>
            <color indexed="81"/>
            <rFont val="Tahoma"/>
            <family val="2"/>
          </rPr>
          <t xml:space="preserve">HORAS EXTRAS GRAVADAS (IMPORTE NETO) -&gt; </t>
        </r>
        <r>
          <rPr>
            <b/>
            <u/>
            <sz val="9"/>
            <color indexed="81"/>
            <rFont val="Tahoma"/>
            <family val="2"/>
          </rPr>
          <t>no te hace saltar de tramo de la escala</t>
        </r>
        <r>
          <rPr>
            <b/>
            <sz val="9"/>
            <color indexed="81"/>
            <rFont val="Tahoma"/>
            <family val="2"/>
          </rPr>
          <t xml:space="preserve">. 
Conforme lo previsto en el párrafo cuarto del artículo 94 LIG, al sólo efecto de determinar el </t>
        </r>
        <r>
          <rPr>
            <b/>
            <u/>
            <sz val="9"/>
            <color indexed="81"/>
            <rFont val="Tahoma"/>
            <family val="2"/>
          </rPr>
          <t>tramo</t>
        </r>
        <r>
          <rPr>
            <b/>
            <sz val="9"/>
            <color indexed="81"/>
            <rFont val="Tahoma"/>
            <family val="2"/>
          </rPr>
          <t xml:space="preserve"> de “ganancia neta imponible acumulada” que corresponde aplicar para el mes que se liquida, </t>
        </r>
        <r>
          <rPr>
            <b/>
            <u/>
            <sz val="9"/>
            <color indexed="81"/>
            <rFont val="Tahoma"/>
            <family val="2"/>
          </rPr>
          <t>deberá restarse</t>
        </r>
        <r>
          <rPr>
            <b/>
            <sz val="9"/>
            <color indexed="81"/>
            <rFont val="Tahoma"/>
            <family val="2"/>
          </rPr>
          <t xml:space="preserve"> de la ganancia neta sujeta a impuesto, el importe neto correspondiente a las horas extras que resulten gravadas. </t>
        </r>
      </text>
    </comment>
    <comment ref="A302" authorId="2" shapeId="0" xr:uid="{00000000-0006-0000-0100-00001A000000}">
      <text>
        <r>
          <rPr>
            <b/>
            <sz val="14"/>
            <color indexed="81"/>
            <rFont val="Tahoma"/>
            <family val="2"/>
          </rPr>
          <t>Poner manual (sin formula):
* retenido: signo  +
* devuelto: signo  -</t>
        </r>
        <r>
          <rPr>
            <sz val="9"/>
            <color indexed="81"/>
            <rFont val="Tahoma"/>
            <family val="2"/>
          </rPr>
          <t xml:space="preserve">
</t>
        </r>
      </text>
    </comment>
    <comment ref="S302" authorId="0" shapeId="0" xr:uid="{00000000-0006-0000-0100-00001B000000}">
      <text>
        <r>
          <rPr>
            <b/>
            <u/>
            <sz val="9"/>
            <color indexed="81"/>
            <rFont val="Tahoma"/>
            <family val="2"/>
          </rPr>
          <t>concurrencia</t>
        </r>
        <r>
          <rPr>
            <b/>
            <sz val="9"/>
            <color indexed="81"/>
            <rFont val="Tahoma"/>
            <family val="2"/>
          </rPr>
          <t xml:space="preserve"> del impuesto retenido: para el </t>
        </r>
        <r>
          <rPr>
            <b/>
            <u/>
            <sz val="9"/>
            <color indexed="81"/>
            <rFont val="Tahoma"/>
            <family val="2"/>
          </rPr>
          <t>limite</t>
        </r>
        <r>
          <rPr>
            <b/>
            <sz val="9"/>
            <color indexed="81"/>
            <rFont val="Tahoma"/>
            <family val="2"/>
          </rPr>
          <t xml:space="preserve"> del </t>
        </r>
        <r>
          <rPr>
            <b/>
            <u/>
            <sz val="9"/>
            <color indexed="81"/>
            <rFont val="Tahoma"/>
            <family val="2"/>
          </rPr>
          <t>pago a cta</t>
        </r>
        <r>
          <rPr>
            <b/>
            <sz val="9"/>
            <color indexed="81"/>
            <rFont val="Tahoma"/>
            <family val="2"/>
          </rPr>
          <t xml:space="preserve"> a DEVOLVER.</t>
        </r>
        <r>
          <rPr>
            <sz val="9"/>
            <color indexed="81"/>
            <rFont val="Tahoma"/>
            <family val="2"/>
          </rPr>
          <t xml:space="preserve">
</t>
        </r>
      </text>
    </comment>
    <comment ref="P306" authorId="3" shapeId="0" xr:uid="{00000000-0006-0000-0100-00001C000000}">
      <text>
        <r>
          <rPr>
            <b/>
            <sz val="9"/>
            <color indexed="81"/>
            <rFont val="Tahoma"/>
            <family val="2"/>
          </rPr>
          <t xml:space="preserve">Si mediante </t>
        </r>
        <r>
          <rPr>
            <b/>
            <u/>
            <sz val="9"/>
            <color indexed="81"/>
            <rFont val="Tahoma"/>
            <family val="2"/>
          </rPr>
          <t>NOTA</t>
        </r>
        <r>
          <rPr>
            <b/>
            <sz val="9"/>
            <color indexed="81"/>
            <rFont val="Tahoma"/>
            <family val="2"/>
          </rPr>
          <t xml:space="preserve"> el empleado solicita que se </t>
        </r>
        <r>
          <rPr>
            <b/>
            <u/>
            <sz val="9"/>
            <color indexed="81"/>
            <rFont val="Tahoma"/>
            <family val="2"/>
          </rPr>
          <t>aplique el limite del 35%</t>
        </r>
        <r>
          <rPr>
            <b/>
            <sz val="9"/>
            <color indexed="81"/>
            <rFont val="Tahoma"/>
            <family val="2"/>
          </rPr>
          <t xml:space="preserve">: en esta formula, </t>
        </r>
        <r>
          <rPr>
            <b/>
            <u/>
            <sz val="9"/>
            <color indexed="81"/>
            <rFont val="Tahoma"/>
            <family val="2"/>
          </rPr>
          <t>reemplazar</t>
        </r>
        <r>
          <rPr>
            <b/>
            <sz val="9"/>
            <color indexed="81"/>
            <rFont val="Tahoma"/>
            <family val="2"/>
          </rPr>
          <t xml:space="preserve"> el "0" (cero) por la RBH del mes que se hace la liq anual (abr o may).</t>
        </r>
        <r>
          <rPr>
            <sz val="9"/>
            <color indexed="81"/>
            <rFont val="Tahoma"/>
            <family val="2"/>
          </rPr>
          <t xml:space="preserve">
</t>
        </r>
      </text>
    </comment>
    <comment ref="P308" authorId="0" shapeId="0" xr:uid="{16D638B7-700F-483B-8854-F8099D5A34E5}">
      <text>
        <r>
          <rPr>
            <b/>
            <sz val="9"/>
            <color indexed="81"/>
            <rFont val="Tahoma"/>
            <family val="2"/>
          </rPr>
          <t xml:space="preserve">el agente de retención </t>
        </r>
        <r>
          <rPr>
            <b/>
            <u/>
            <sz val="9"/>
            <color indexed="81"/>
            <rFont val="Tahoma"/>
            <family val="2"/>
          </rPr>
          <t>no deberá considerar el referido límite</t>
        </r>
        <r>
          <rPr>
            <b/>
            <sz val="9"/>
            <color indexed="81"/>
            <rFont val="Tahoma"/>
            <family val="2"/>
          </rPr>
          <t xml:space="preserve"> en oportunidad de practicar la retención que corresponda a la </t>
        </r>
        <r>
          <rPr>
            <b/>
            <u/>
            <sz val="9"/>
            <color indexed="81"/>
            <rFont val="Tahoma"/>
            <family val="2"/>
          </rPr>
          <t>liquidación anual o final</t>
        </r>
        <r>
          <rPr>
            <b/>
            <sz val="9"/>
            <color indexed="81"/>
            <rFont val="Tahoma"/>
            <family val="2"/>
          </rPr>
          <t xml:space="preserve">, previstas en el Artículo 21, </t>
        </r>
        <r>
          <rPr>
            <b/>
            <u/>
            <sz val="9"/>
            <color indexed="81"/>
            <rFont val="Tahoma"/>
            <family val="2"/>
          </rPr>
          <t>excepto</t>
        </r>
        <r>
          <rPr>
            <b/>
            <sz val="9"/>
            <color indexed="81"/>
            <rFont val="Tahoma"/>
            <family val="2"/>
          </rPr>
          <t xml:space="preserve"> cuando el sujeto pasible de la retención manifieste mediante </t>
        </r>
        <r>
          <rPr>
            <b/>
            <u/>
            <sz val="9"/>
            <color indexed="81"/>
            <rFont val="Tahoma"/>
            <family val="2"/>
          </rPr>
          <t>nota</t>
        </r>
        <r>
          <rPr>
            <b/>
            <sz val="9"/>
            <color indexed="81"/>
            <rFont val="Tahoma"/>
            <family val="2"/>
          </rPr>
          <t xml:space="preserve">, su voluntad de que </t>
        </r>
        <r>
          <rPr>
            <b/>
            <u/>
            <sz val="9"/>
            <color indexed="81"/>
            <rFont val="Tahoma"/>
            <family val="2"/>
          </rPr>
          <t>se aplique</t>
        </r>
        <r>
          <rPr>
            <b/>
            <sz val="9"/>
            <color indexed="81"/>
            <rFont val="Tahoma"/>
            <family val="2"/>
          </rPr>
          <t xml:space="preserve"> dicho límite.</t>
        </r>
        <r>
          <rPr>
            <sz val="9"/>
            <color indexed="81"/>
            <rFont val="Tahoma"/>
            <family val="2"/>
          </rPr>
          <t xml:space="preserve">
</t>
        </r>
      </text>
    </comment>
  </commentList>
</comments>
</file>

<file path=xl/sharedStrings.xml><?xml version="1.0" encoding="utf-8"?>
<sst xmlns="http://schemas.openxmlformats.org/spreadsheetml/2006/main" count="692" uniqueCount="426">
  <si>
    <t>Deducciones Generales</t>
  </si>
  <si>
    <t>Enero</t>
  </si>
  <si>
    <t>Febrero</t>
  </si>
  <si>
    <t>Marzo</t>
  </si>
  <si>
    <t>Abril</t>
  </si>
  <si>
    <t>Mayo</t>
  </si>
  <si>
    <t>Junio</t>
  </si>
  <si>
    <t>Julio</t>
  </si>
  <si>
    <t>Agosto</t>
  </si>
  <si>
    <t>Septiembre</t>
  </si>
  <si>
    <t>Octubre</t>
  </si>
  <si>
    <t>Noviembre</t>
  </si>
  <si>
    <t>Diciembre</t>
  </si>
  <si>
    <t>Total</t>
  </si>
  <si>
    <t>Casas Particulares</t>
  </si>
  <si>
    <t>Ints Credito Hipotecario</t>
  </si>
  <si>
    <t>Cuota Medico Asistencial</t>
  </si>
  <si>
    <t>Donaciones</t>
  </si>
  <si>
    <t>NO</t>
  </si>
  <si>
    <t>Año</t>
  </si>
  <si>
    <t>Z. Patagonica</t>
  </si>
  <si>
    <t>Remuneración Bruta Mensual (RBM)</t>
  </si>
  <si>
    <t>Jubilacion</t>
  </si>
  <si>
    <t>INSSJP</t>
  </si>
  <si>
    <t>Obra Social</t>
  </si>
  <si>
    <t>Sindicato</t>
  </si>
  <si>
    <t>Otros descuentos (x Ej: importes fijos)</t>
  </si>
  <si>
    <t>Deducciones Generales Mensual</t>
  </si>
  <si>
    <t>Deducciones Generales Acumuladas</t>
  </si>
  <si>
    <t>Cuota Medico-asistencial</t>
  </si>
  <si>
    <t>Deducciones Personales Mensual</t>
  </si>
  <si>
    <t>Deducciones Personales Acumulada</t>
  </si>
  <si>
    <t>Ganancia Neta Sujeta a Impuesto (mensual)</t>
  </si>
  <si>
    <t>Ganancia Neta Sujeta a Impuesto Acumulada</t>
  </si>
  <si>
    <t>difer GNSI acum</t>
  </si>
  <si>
    <t>Impuesto determinado (acumulado)</t>
  </si>
  <si>
    <t>Total a Retener en el mes</t>
  </si>
  <si>
    <t>Total a Devolver en el mes:</t>
  </si>
  <si>
    <t>Retencion Acumulada</t>
  </si>
  <si>
    <t>Topes para el Calculo de las Deducciones</t>
  </si>
  <si>
    <t>Tope Anual para deducciones por Gastos de Sepelio</t>
  </si>
  <si>
    <t>Tope Anual para deducciones por Interes Credigo Hipotecario</t>
  </si>
  <si>
    <t>Tope Anual para deducciones por Alquleres</t>
  </si>
  <si>
    <t>Tope en porcentaje para Cuota Medico-asistencial</t>
  </si>
  <si>
    <t>Tope en porcentaje para Facturacion por Asistencia Sanitaria</t>
  </si>
  <si>
    <t>Tope en porcentaje del máximo a deducir por Asistencia Sanitaria</t>
  </si>
  <si>
    <t>Tope en porcentaje del máximo a deducir por Donaciones</t>
  </si>
  <si>
    <t>Tope en porcentaje del aumento de la Deduccion Especial</t>
  </si>
  <si>
    <t>Fijo</t>
  </si>
  <si>
    <t>Concepto</t>
  </si>
  <si>
    <t>Conyuge / Conviviente</t>
  </si>
  <si>
    <t>BI Máx aportes</t>
  </si>
  <si>
    <t>Gastos Sepelio  ($996,23 limite)</t>
  </si>
  <si>
    <t>Gastos de Sepelio   (limite x cada carga flia)</t>
  </si>
  <si>
    <t>concurrencia retenido…</t>
  </si>
  <si>
    <t>limite art 7 RG 4003 (35% s/ RB pagada)</t>
  </si>
  <si>
    <t>exención S.A.C.</t>
  </si>
  <si>
    <t>RBM exenta</t>
  </si>
  <si>
    <t>promedio PF anual</t>
  </si>
  <si>
    <t xml:space="preserve">Tope Anual para deducciones por Casas Particulares </t>
  </si>
  <si>
    <t>Tope Anual para deducciones por Servicios o herramientas con fines educativos</t>
  </si>
  <si>
    <t>Serv o herramientas fines educativos</t>
  </si>
  <si>
    <t>GNI</t>
  </si>
  <si>
    <t>Sub-total Deducciones:</t>
  </si>
  <si>
    <t>LIQUIDACION DEL IMPUESTO A LAS GANANCIAS:</t>
  </si>
  <si>
    <t>Aux Ganancia Neta   Acumulada</t>
  </si>
  <si>
    <t>Aux Tope 5% Ganancia Neta Acumulada</t>
  </si>
  <si>
    <t>DEDUCCIONES GENERALES :</t>
  </si>
  <si>
    <t>DEDUCCIONES PERSONALES ART 30 :</t>
  </si>
  <si>
    <t>Deducción Especial [art 30º, inciso c), Apartado 2]   (mes)</t>
  </si>
  <si>
    <t>Saldo a favor de AFIP / Contribuyente      acumulado</t>
  </si>
  <si>
    <t>Deducciones Generales Acumuladas (con Tope del 5%)</t>
  </si>
  <si>
    <t>=</t>
  </si>
  <si>
    <t>-</t>
  </si>
  <si>
    <t>Pagos a Cta totales</t>
  </si>
  <si>
    <t>Devuelto hasta 31/05</t>
  </si>
  <si>
    <t>+</t>
  </si>
  <si>
    <t>Retenido hasta 31/05</t>
  </si>
  <si>
    <t>Pagos a cta limite a devolver:</t>
  </si>
  <si>
    <t>Aportes a Sociedades de garantia Reciproca</t>
  </si>
  <si>
    <t>Corredores y Viajantes. Amortiz impos rodado</t>
  </si>
  <si>
    <t>Corredores y Viajantes. Intereses deuda adquis rodado</t>
  </si>
  <si>
    <t>Corredores y Viajantes. Amortiz impositiva del rodado</t>
  </si>
  <si>
    <t>Corredores y Viajantes. Intereses deuda adquisición rodado</t>
  </si>
  <si>
    <t>Gtos Equipamiento, indum (uso exclusivo lugar tbjo)</t>
  </si>
  <si>
    <t>Grupo para Deducción Especial Incrementada :</t>
  </si>
  <si>
    <t>Poner importe efectivamente retenido o (devuelto)  en el  mes</t>
  </si>
  <si>
    <t>Ganancia Neta    Mensual</t>
  </si>
  <si>
    <t>Ganancia Neta    Acumulada</t>
  </si>
  <si>
    <t>Hijos o Hijastros menor de 18 años   (mes)</t>
  </si>
  <si>
    <t>Hijos o Hijastros incapacitado para el trabajo   (mes)</t>
  </si>
  <si>
    <t>Ganancia No Imponible   (mes)</t>
  </si>
  <si>
    <t>Conyuge / Conviviente    (mes)</t>
  </si>
  <si>
    <t>Hs Extras Gravadas Netas   (acumulado)</t>
  </si>
  <si>
    <t>Hs Extras Gravadas Netas   (mensual)</t>
  </si>
  <si>
    <t>Ganancia Neta Sujeta Impue Acum -sin Hs Extras Grav Netas-</t>
  </si>
  <si>
    <t>Deducciones Personales. Cargas de Familia.</t>
  </si>
  <si>
    <r>
      <t xml:space="preserve">✓  Deducción por </t>
    </r>
    <r>
      <rPr>
        <b/>
        <sz val="11"/>
        <color rgb="FF000000"/>
        <rFont val="Arial"/>
        <family val="2"/>
      </rPr>
      <t>Hijo/a</t>
    </r>
    <r>
      <rPr>
        <sz val="10"/>
        <color rgb="FF000000"/>
        <rFont val="Arial"/>
        <family val="2"/>
      </rPr>
      <t xml:space="preserve">: computable por ambos progenitores, con las consideraciones ya comentadas.  
✓  Deducción por </t>
    </r>
    <r>
      <rPr>
        <b/>
        <sz val="11"/>
        <color rgb="FF000000"/>
        <rFont val="Arial"/>
        <family val="2"/>
      </rPr>
      <t>Hijastro/a</t>
    </r>
    <r>
      <rPr>
        <sz val="10"/>
        <color rgb="FF000000"/>
        <rFont val="Arial"/>
        <family val="2"/>
      </rPr>
      <t xml:space="preserve">: Computada sólo por el progenitor, salvo que no tenga renta imponible. En este caso deduce el progenitor afín.
</t>
    </r>
  </si>
  <si>
    <r>
      <t>E- DEDUCCIONES PERSONALES.  "</t>
    </r>
    <r>
      <rPr>
        <b/>
        <u/>
        <sz val="10"/>
        <color rgb="FF000000"/>
        <rFont val="Arial"/>
        <family val="2"/>
      </rPr>
      <t>CARGAS DE FAMILIA"</t>
    </r>
    <r>
      <rPr>
        <sz val="10"/>
        <color rgb="FF000000"/>
        <rFont val="Arial"/>
        <family val="2"/>
      </rPr>
      <t xml:space="preserve">.
Respecto a la deducción por hijo, hija, hijastro o hijastra menor de 18 años o incapacitado para el trabajo, se tendrán en cuenta las siguientes consideraciones:  </t>
    </r>
    <r>
      <rPr>
        <b/>
        <sz val="12"/>
        <color rgb="FF000000"/>
        <rFont val="Arial"/>
        <family val="2"/>
      </rPr>
      <t>a)</t>
    </r>
    <r>
      <rPr>
        <sz val="10"/>
        <color rgb="FF000000"/>
        <rFont val="Arial"/>
        <family val="2"/>
      </rPr>
      <t xml:space="preserve"> Cuando la carga de familia sea menor de 18 años, la deducción será computada por quien posea la responsabilidad parental, en los términos del CCCN. Cuando ésta sea ejercida por los 2 progenitores y ambos perciban ganancias imponibles, cada uno podrá computar el 50% del importe de la deducción o uno de ellos el 100% de dicho importe.  </t>
    </r>
    <r>
      <rPr>
        <b/>
        <sz val="12"/>
        <color rgb="FF000000"/>
        <rFont val="Arial"/>
        <family val="2"/>
      </rPr>
      <t>b)</t>
    </r>
    <r>
      <rPr>
        <sz val="10"/>
        <color rgb="FF000000"/>
        <rFont val="Arial"/>
        <family val="2"/>
      </rPr>
      <t xml:space="preserve"> De tratarse de un hijo, hija, hijastro o hijastra incapacitados para el trabajo, cualquiera sea la edad, la deducción incrementada en una vez por cada uno será computada por el pariente más cercano, que tenga ganancias imponibles y a cuyo cargo esté la citada carga de familia. Cuando ambos progenitores obtengan ganancias imponibles y lo tengan a su cargo, cada uno podrá computar el 50% del importe de la deducción o uno de ellos el 100% de dicho importe.
</t>
    </r>
  </si>
  <si>
    <t>¿Paga el sueldo en el mismo mes del devengamiento?</t>
  </si>
  <si>
    <t>LIQUIDACION DE GANANCIAS DE CUARTA CATEGORIA: CRITERIO IMPUTACIÓN "PERCIBIDO"</t>
  </si>
  <si>
    <t>Periodo "percibido" :</t>
  </si>
  <si>
    <t>40% GNI</t>
  </si>
  <si>
    <t>Total Deducciones Generales Acumuladas:</t>
  </si>
  <si>
    <t>Deducciones Generales Mensual (con Tope del 5%)</t>
  </si>
  <si>
    <t>Deducciones Personales Acumuladas:</t>
  </si>
  <si>
    <t>Ganancia No Imponible   (acumulada)</t>
  </si>
  <si>
    <t>Conyuge / Conviviente    (acumulada)</t>
  </si>
  <si>
    <t>Hijos o Hijastros menor de 18 años   (acumulada)</t>
  </si>
  <si>
    <t>Hijos o Hijastros incapacitado para el trabajo   (acumulada)</t>
  </si>
  <si>
    <t>Deducción Especial [art 30º, inciso c), Ap 2]   (acumulada)</t>
  </si>
  <si>
    <t>Ap fondos Jubilación, Retiros, Pens o Subs al ANSES</t>
  </si>
  <si>
    <t>Aporte Cajas Provinc o Munic o de Prevision p/ Profesi</t>
  </si>
  <si>
    <t>Auxiliar Ganancia Neta  mensual p/ ded pers</t>
  </si>
  <si>
    <t>40% del Alquiler de Inmueble p/ casa habitación</t>
  </si>
  <si>
    <t>Importe Conyuge mensual</t>
  </si>
  <si>
    <t>Importe hijo menor 18 mensual</t>
  </si>
  <si>
    <t>Importe hijo incapacitado trabajo mensual</t>
  </si>
  <si>
    <t>Importe Conyuge acumulado</t>
  </si>
  <si>
    <t>Importe hijo menor 18 acumulado</t>
  </si>
  <si>
    <t>Importe hijo incapacitado trabajo acumulado</t>
  </si>
  <si>
    <t>GNI mensual</t>
  </si>
  <si>
    <t>GNI acumulada</t>
  </si>
  <si>
    <t>Deducción Especial [art 30º, inciso c), Apartado 2] mensual</t>
  </si>
  <si>
    <t>Deducción Especial [art 30º, inciso c), Apartado 2] acum</t>
  </si>
  <si>
    <r>
      <t xml:space="preserve">se completan x lo </t>
    </r>
    <r>
      <rPr>
        <b/>
        <u/>
        <sz val="10"/>
        <color rgb="FF000000"/>
        <rFont val="Arial"/>
        <family val="2"/>
      </rPr>
      <t>devengado</t>
    </r>
    <r>
      <rPr>
        <sz val="10"/>
        <color rgb="FF000000"/>
        <rFont val="Arial"/>
        <family val="2"/>
      </rPr>
      <t xml:space="preserve"> estos conceptos de aquí abajo:</t>
    </r>
  </si>
  <si>
    <t>Ded Personales Beneficiario</t>
  </si>
  <si>
    <t>GRAVADO</t>
  </si>
  <si>
    <t>EXENTO / NO ALCANZADO</t>
  </si>
  <si>
    <t>REMUNERACIONES</t>
  </si>
  <si>
    <t>Abonadas por el agente de retención</t>
  </si>
  <si>
    <t>Remuneración bruta gravada</t>
  </si>
  <si>
    <t>Retribuciones no habituales gravadas</t>
  </si>
  <si>
    <t>Horas extras remuneración gravada</t>
  </si>
  <si>
    <t>Movilidad y viáticos remuneración gravada</t>
  </si>
  <si>
    <t>Material didáctico personal docente remuneración gravada</t>
  </si>
  <si>
    <t>Bonos de productividad gravados</t>
  </si>
  <si>
    <t>Fallos de caja gravados</t>
  </si>
  <si>
    <t>Conceptos de similar naturaleza gravados</t>
  </si>
  <si>
    <t>Retribuciones no habituales exentas o no alcanzadas</t>
  </si>
  <si>
    <t>Horas extras remuneración exenta</t>
  </si>
  <si>
    <t>Material didáctico personal docente remuneración exenta o no alcanzada</t>
  </si>
  <si>
    <t>Bonos de productividad exentos</t>
  </si>
  <si>
    <t>Fallos de caja exentos</t>
  </si>
  <si>
    <t>Conceptos de similar naturaleza exentos</t>
  </si>
  <si>
    <t>Suplementos particulares artículo 57 de la Ley N° 19.101 exentos</t>
  </si>
  <si>
    <t>Compensación gastos de teletrabajo exentos</t>
  </si>
  <si>
    <t>Ajustes períodos anteriores - Remuneración gravada</t>
  </si>
  <si>
    <t>Ajustes períodos anteriores - Remuneración exenta / no alcanzada</t>
  </si>
  <si>
    <t>Otros Empleos</t>
  </si>
  <si>
    <t>Remuneración Bruta Gravada</t>
  </si>
  <si>
    <t xml:space="preserve">Remuneración Exenta o no alcanzada </t>
  </si>
  <si>
    <t>RBM (Otros Empleos)      -SIN SAC-</t>
  </si>
  <si>
    <t>RBM (agente de retención)      -SIN SAC-</t>
  </si>
  <si>
    <t>TOTAL REMUNERACIÓN GRAVADA</t>
  </si>
  <si>
    <t>TOTAL REMUNERACIÓN EXENTA O NO ALCANZADA</t>
  </si>
  <si>
    <t>TOTAL REMUNERACIONES</t>
  </si>
  <si>
    <t>Promedio RBM al mes</t>
  </si>
  <si>
    <t xml:space="preserve">Aportes Seguridad Social </t>
  </si>
  <si>
    <t>Aportes Obra Social</t>
  </si>
  <si>
    <t>Aporte Sindical</t>
  </si>
  <si>
    <t>Sub- Total Deducciones del Agente de Retenc:</t>
  </si>
  <si>
    <t>Sub- Total Desucciones de Otros Empleos:</t>
  </si>
  <si>
    <t>S.A.C. Real pagado -&gt;   ( agente de retencion)</t>
  </si>
  <si>
    <t>S.A.C. Real pagado -&gt;   ( Otros Empleos  s/ SiRADIG)</t>
  </si>
  <si>
    <t>SAC bruto Exento</t>
  </si>
  <si>
    <t>SAC bruto</t>
  </si>
  <si>
    <t>el menor:</t>
  </si>
  <si>
    <t>Base de Calculo Aportes:</t>
  </si>
  <si>
    <t>Retribuciones no habituales gravadas (agente ret)</t>
  </si>
  <si>
    <t>Bono Productividad Gravados (agente ret)</t>
  </si>
  <si>
    <t>Retribuciones no habituales gravadas (agente ret)  Acum.</t>
  </si>
  <si>
    <t>Bono Productividad Gravados (agente ret)  Acum</t>
  </si>
  <si>
    <t>Fallos de caja gravados (agente ret)</t>
  </si>
  <si>
    <t>Fallos de caja gravados (agente ret)  Acum</t>
  </si>
  <si>
    <t>Conceptos de similar naturaleza gravados (agente ret)</t>
  </si>
  <si>
    <t>Conceptos de similar naturaleza gravados (agente ret)   Acum</t>
  </si>
  <si>
    <t>Retribuciones no habituales gravadas (otros empleos)</t>
  </si>
  <si>
    <t>Retribuciones no habituales gravadas (otros empleos)  Acum</t>
  </si>
  <si>
    <t>Bonos de produtividad gravados (otros empleos)</t>
  </si>
  <si>
    <t>Bonos de produtividad gravados (otros empleos)  Acum</t>
  </si>
  <si>
    <t>Fallos de caja gravados (otros empleos)</t>
  </si>
  <si>
    <t>Fallos de caja gravados (otros empleos)  Acum</t>
  </si>
  <si>
    <t>Conceptos de similar naturaleza gravados (otros empleos)</t>
  </si>
  <si>
    <t>Conceptos de similar naturaleza gravados (otros empleos)   Acum</t>
  </si>
  <si>
    <t>Ajustes períodos anteriores - Remuneración gravada (otros empleos)</t>
  </si>
  <si>
    <t>Ajustes períodos anteriores - Remuneración gravada (otros empleos)  Acum</t>
  </si>
  <si>
    <t>12va parte del SAC gravado  (agente de retencion)</t>
  </si>
  <si>
    <t>Total Aportes 12va parte SAC  agente de retencion</t>
  </si>
  <si>
    <t>RBM</t>
  </si>
  <si>
    <t>tope base SAC p/ aportes:</t>
  </si>
  <si>
    <t>Base de Calculo (RBM)  otros empleos:</t>
  </si>
  <si>
    <t>TOTAL REMUNERACIÓN GRAVADA MENSUAL</t>
  </si>
  <si>
    <t>Aportes Seguridad Social   otros empleos</t>
  </si>
  <si>
    <t>Aportes Obra Social  otros empleos</t>
  </si>
  <si>
    <t>Aporte Sindical  otros empleos</t>
  </si>
  <si>
    <t>Remuneración bruta gravada   (remunerativo)</t>
  </si>
  <si>
    <t>Retribuciones no habituales gravadas   (remunerativo)</t>
  </si>
  <si>
    <t>Remuneración exenta o no alcanzada    (remunerativo)</t>
  </si>
  <si>
    <t>Retribuciones no habituales exentas o no alcanzadas   (remunerativo)</t>
  </si>
  <si>
    <t>Ajustes períodos anteriores - Remuneración gravada   (remunerativo)</t>
  </si>
  <si>
    <t>Ajustes períodos anteriores - Remuneración exenta / no alcanzada    (remunerativo)</t>
  </si>
  <si>
    <t>Remuneración bruta gravada   (No remunerativo)</t>
  </si>
  <si>
    <t>Retribuciones no habituales gravadas   (No remunerativo)</t>
  </si>
  <si>
    <t>Retribuciones no habituales gravadas No remunerativo   (agente ret)</t>
  </si>
  <si>
    <t>Retribuciones no habituales gravadas No remunerativo  (agente ret)  Acum</t>
  </si>
  <si>
    <t>Remuneración exenta o no alcanzada    (No remunerativo)</t>
  </si>
  <si>
    <t>Retribuciones no habituales exentas o no alcanzadas   (No remunerativo)</t>
  </si>
  <si>
    <t xml:space="preserve">Fallos de caja exentos  </t>
  </si>
  <si>
    <t>Ajustes períodos anteriores - Remuneración gravada   (No remunerativo)</t>
  </si>
  <si>
    <t>Ajustes períodos anteriores - Remuneración exenta / no alcanzada    (No remunerativo)</t>
  </si>
  <si>
    <t>Ajustes períodos anteriores - Remuneración gravada No remun  (agente ret)</t>
  </si>
  <si>
    <t>Ajustes períodos anteriores - Remuneración gravada No remun  (agente ret)  Acum</t>
  </si>
  <si>
    <t>DEDUCCIONES</t>
  </si>
  <si>
    <t>Base de Calculo Aportes (sugerido) :</t>
  </si>
  <si>
    <t>Tope Base Aportes :</t>
  </si>
  <si>
    <t>TOTAL REMUNERACIÓN EXENTA O NO ALCANZADA  (sólo total)</t>
  </si>
  <si>
    <t>TOTAL REMUNERACIONES  (sólo total)</t>
  </si>
  <si>
    <t>TOTAL REMUNERACIÓN EXENTA O NO ALCANZADA   (sólo total)</t>
  </si>
  <si>
    <t>Tope Base aportes (agente retención) :</t>
  </si>
  <si>
    <t>menor :</t>
  </si>
  <si>
    <t>Base Imponible aportes grav  (agente retencion) :</t>
  </si>
  <si>
    <t>R</t>
  </si>
  <si>
    <t>NR</t>
  </si>
  <si>
    <t>R ó NR</t>
  </si>
  <si>
    <t>Total Deducciones Generales mensual:</t>
  </si>
  <si>
    <t>¿aplica lim 35% en la anual?</t>
  </si>
  <si>
    <r>
      <t xml:space="preserve">Remun Neta mensual s/ Recibos del </t>
    </r>
    <r>
      <rPr>
        <b/>
        <u/>
        <sz val="11"/>
        <color rgb="FF686868"/>
        <rFont val="Arial"/>
        <family val="2"/>
        <charset val="1"/>
      </rPr>
      <t>Agente de Retención</t>
    </r>
    <r>
      <rPr>
        <b/>
        <sz val="11"/>
        <color rgb="FF686868"/>
        <rFont val="Arial"/>
        <family val="2"/>
        <charset val="1"/>
      </rPr>
      <t>:</t>
    </r>
  </si>
  <si>
    <t>Neto SAC  REAL  (agente retención):</t>
  </si>
  <si>
    <t xml:space="preserve"> ---  el menor  ---</t>
  </si>
  <si>
    <t>DEDUCCIONES   (del Agente de Retención):</t>
  </si>
  <si>
    <t>DEDUCCIONES   (de Otros Empleos, s/ SiRADIG):</t>
  </si>
  <si>
    <t>TOTAL REMUNERACIÓN GRAVADA (ANTES DE 12va PARTE SAC)</t>
  </si>
  <si>
    <t>TOTAL REMUNERACIONES  (ANTES DE 12va PARTE SAC)  (sólo total)</t>
  </si>
  <si>
    <t>Remuneración exenta o no alcanzada</t>
  </si>
  <si>
    <t>Exento</t>
  </si>
  <si>
    <t>Ot Emp Remuneración Bruta Gravada</t>
  </si>
  <si>
    <t>Ot Emp Retribuciones no habituales gravadas</t>
  </si>
  <si>
    <t>Ot Emp Horas extras remuneración gravada</t>
  </si>
  <si>
    <t>Ot Emp Movilidad y viáticos remuneración gravada</t>
  </si>
  <si>
    <t>Ot Emp Material didáctico personal docente remuneración gravada</t>
  </si>
  <si>
    <t>Ot Emp Bonos de produtividad gravados</t>
  </si>
  <si>
    <t>Ot Emp Fallos de caja gravados</t>
  </si>
  <si>
    <t>Ot Emp Conceptos de similar naturaleza gravados</t>
  </si>
  <si>
    <t xml:space="preserve">Ot Emp Remuneración Exenta o no alcanzada </t>
  </si>
  <si>
    <t>Ot Emp Retribuciones no habituales exentas o no alcanzadas</t>
  </si>
  <si>
    <t>Ot Emp Horas extras remuneración exenta</t>
  </si>
  <si>
    <t>Ot Emp Material didáctico personal docente remuneración exenta o no alcanzada</t>
  </si>
  <si>
    <t>Ot Emp Bonos de productividad exentos</t>
  </si>
  <si>
    <t>Ot Emp Fallos de caja exentos</t>
  </si>
  <si>
    <t>Ot Emp Conceptos de similar naturaleza exentos</t>
  </si>
  <si>
    <t>Ot Emp Suplementos particulares artículo 57 de la Ley N° 19.101 exentos</t>
  </si>
  <si>
    <t>Ot Emp Compensación gastos de teletrabajo exentos</t>
  </si>
  <si>
    <t>Ot Emp Ajustes períodos anteriores - Remuneración gravada</t>
  </si>
  <si>
    <t>Ot Emp Ajustes períodos anteriores - Remuneración exenta / no alcanzada</t>
  </si>
  <si>
    <t>Aportes a fondos de jubilaciones, retiros, pensiones o subsidios que se destinen a cajas nacionales, provinciales o municipales</t>
  </si>
  <si>
    <t>Aportes a fondos de jubilaciones, retiros, pensiones o subsidios que se destinen a cajas nacionales, provinciales o municipales por otros empleos</t>
  </si>
  <si>
    <t>Aportes a obras sociales</t>
  </si>
  <si>
    <t>Aportes a obras sociales por otros empleos</t>
  </si>
  <si>
    <t>Cuota sindical</t>
  </si>
  <si>
    <t>Cuota sindical por otros empleos</t>
  </si>
  <si>
    <t>Cuotas médicos asistenciales</t>
  </si>
  <si>
    <t>Primas de seguro para el caso de muerte</t>
  </si>
  <si>
    <t>Primas de seguro por riesgo de muerte y de ahorro mixtos, excepto para los casos de seguros de retiro privados administrados por entidades sujetas al control de la Superintendencia de Seguros de la Nación</t>
  </si>
  <si>
    <t xml:space="preserve">Aportes a planes de seguro de retiro privados administrados por entidades sujetas al control de la Superintendencia de Seguros de la Nación </t>
  </si>
  <si>
    <t>Cuotapartes de fondos comunes de inversión constituidos con fines de retiro</t>
  </si>
  <si>
    <t>Gastos de sepelio</t>
  </si>
  <si>
    <t>Gastos de amortización e intereses de rodados de corredores y viajantes de comercio</t>
  </si>
  <si>
    <t>Donaciones a fiscos nacionales, provinciales y municipales y a instituciones comprendidas en los incisos e) y f) del artículo 26 de la Ley de Impuesto a las Ganancias</t>
  </si>
  <si>
    <t>Aportes a Cajas Complementarias de Previsión, Fondos Compensadores de Previsión o similares</t>
  </si>
  <si>
    <t>Honorarios por servicios de asistencia sanitaria, médica y paramédica</t>
  </si>
  <si>
    <t>Intereses de créditos hipotecarios</t>
  </si>
  <si>
    <t>Aportes al capital social o al fondo de riesgo de socios protectores de sociedades de garantía recíproca</t>
  </si>
  <si>
    <t>Alquiler de inmuebles destinados a casa habitación</t>
  </si>
  <si>
    <t>Remuneraciones y Aportes a Empleadores del Servicio Doméstico</t>
  </si>
  <si>
    <t>Gastos por adquisición de indumentaria y/o equipamiento de trabajo</t>
  </si>
  <si>
    <t>Gastos de servicios con fines educativos y herramientas destinadas a ese fin</t>
  </si>
  <si>
    <t>TOTAL DE DEDUCCIONES GENERALES</t>
  </si>
  <si>
    <t>Ganancias no Imponible</t>
  </si>
  <si>
    <t>Cónyugue/Unión Convivencial</t>
  </si>
  <si>
    <t>Deducción total hijos/as e hijastros/as</t>
  </si>
  <si>
    <t>Deducción Especial</t>
  </si>
  <si>
    <t>TOTAL DEDUCCIONES PERSONALES</t>
  </si>
  <si>
    <t xml:space="preserve">REMUNERACIÓN SUJETA A IMPUESTO </t>
  </si>
  <si>
    <t>Alícuota aplicable artículo 94 de la Ley de Impuesto a las Ganancias</t>
  </si>
  <si>
    <t>IMPUESTO DETERMINADO</t>
  </si>
  <si>
    <t>Impuesto retenido</t>
  </si>
  <si>
    <t>SALDO A PAGAR</t>
  </si>
  <si>
    <r>
      <t xml:space="preserve">base calculo de la mayor remun </t>
    </r>
    <r>
      <rPr>
        <b/>
        <sz val="10"/>
        <color rgb="FF0000FF"/>
        <rFont val="Arial"/>
        <family val="2"/>
      </rPr>
      <t>mensual</t>
    </r>
    <r>
      <rPr>
        <sz val="10"/>
        <color rgb="FF0000FF"/>
        <rFont val="Arial"/>
        <family val="2"/>
      </rPr>
      <t xml:space="preserve"> devengada del semestre p/ SAC   (sugerido)</t>
    </r>
  </si>
  <si>
    <t>Remun No Habituales Acumuladas (agente retencion)</t>
  </si>
  <si>
    <t>Base remun, p/ proporc 12va parte SAC (agente retenc)</t>
  </si>
  <si>
    <t>Remuneración exenta Ley N° 27.718</t>
  </si>
  <si>
    <t>Ot Emp Remuneración exenta Ley N° 27.718</t>
  </si>
  <si>
    <t>(%) Deducciones Legales (Agente de retención)</t>
  </si>
  <si>
    <t>Total (%)</t>
  </si>
  <si>
    <r>
      <t xml:space="preserve">Hijos o Hijastros incapacitado para el trabajo    </t>
    </r>
    <r>
      <rPr>
        <b/>
        <sz val="10"/>
        <color theme="2" tint="-0.89999084444715716"/>
        <rFont val="Arial"/>
        <family val="2"/>
      </rPr>
      <t>50%</t>
    </r>
  </si>
  <si>
    <r>
      <t xml:space="preserve">Hijos o Hijastros incapacitado para el trabajo    </t>
    </r>
    <r>
      <rPr>
        <b/>
        <sz val="10"/>
        <color theme="2" tint="-0.89999084444715716"/>
        <rFont val="Arial"/>
        <family val="2"/>
      </rPr>
      <t>100%</t>
    </r>
  </si>
  <si>
    <r>
      <t xml:space="preserve">Hijos o Hijastros menor de 18 años       </t>
    </r>
    <r>
      <rPr>
        <b/>
        <sz val="10"/>
        <color theme="2" tint="-0.89999084444715716"/>
        <rFont val="Arial"/>
        <family val="2"/>
      </rPr>
      <t>50%</t>
    </r>
  </si>
  <si>
    <r>
      <t xml:space="preserve">Hijos o Hijastros menor de 18 años       </t>
    </r>
    <r>
      <rPr>
        <b/>
        <sz val="10"/>
        <color theme="2" tint="-0.89999084444715716"/>
        <rFont val="Arial"/>
        <family val="2"/>
      </rPr>
      <t>100%</t>
    </r>
  </si>
  <si>
    <t>H o NH</t>
  </si>
  <si>
    <t>H</t>
  </si>
  <si>
    <t>NH</t>
  </si>
  <si>
    <t>Ajustes períodos anteriores - Remuneración gravada  remunerativo  (agente ret)</t>
  </si>
  <si>
    <t>Ajustes períodos anteriores - Remuneración gravada  remun  (ag ret)   Acum</t>
  </si>
  <si>
    <t>Zona Patagónica</t>
  </si>
  <si>
    <t>Baja (sólo completar por baja)</t>
  </si>
  <si>
    <t>Consideración SAC Real</t>
  </si>
  <si>
    <t>Razon Social del agente retencion</t>
  </si>
  <si>
    <t>CUIT:</t>
  </si>
  <si>
    <t>Nombre y apellido trabajador/a</t>
  </si>
  <si>
    <t>CUIL:</t>
  </si>
  <si>
    <t>Completar lo que tiene fondo GRIS</t>
  </si>
  <si>
    <t>Quitado prorrateado 12va parte</t>
  </si>
  <si>
    <t>Quitado prorrateado 12va parte - Aportes Jubilación</t>
  </si>
  <si>
    <t>Quitado prorrateado 12va parte - Aportes INSSJP</t>
  </si>
  <si>
    <t>Quitado prorrateado 12va parte - Aportes OS</t>
  </si>
  <si>
    <t>Quitado prorrateado 12va parte - Aportes Sind</t>
  </si>
  <si>
    <t>Quitado prorrateado 12va parte - Otros Descuentos</t>
  </si>
  <si>
    <t>dividido en 2 semestres</t>
  </si>
  <si>
    <t>SI</t>
  </si>
  <si>
    <t>Ganancia Neta Sujeta Impue MENSUAL -sin Hs Extras Grav Netas-</t>
  </si>
  <si>
    <t>Impuesto determinado (MENSUAL)</t>
  </si>
  <si>
    <t>LIQUIDACION ANUAL</t>
  </si>
  <si>
    <t>Aux Ganancia Neta MENSUAL -para 5%-</t>
  </si>
  <si>
    <t>5% mensual</t>
  </si>
  <si>
    <t>Reemplazo por SAC gravado Real</t>
  </si>
  <si>
    <t>Agregado SAC gravado Real</t>
  </si>
  <si>
    <t>Agregado Real - Aportes Jubilación s/ grav.</t>
  </si>
  <si>
    <t>Agregado Real - Aportes INSSJP s/ grav.</t>
  </si>
  <si>
    <t>Agregado Real - Aportes OS s/ grav.</t>
  </si>
  <si>
    <t>Agregado Real - Aportes Sind s/ grav.</t>
  </si>
  <si>
    <t>Agregado Real - Otros Descuentos s/ grav.</t>
  </si>
  <si>
    <r>
      <t xml:space="preserve">Quitado prorrateado 12va parte </t>
    </r>
    <r>
      <rPr>
        <b/>
        <sz val="10"/>
        <color rgb="FFFF0000"/>
        <rFont val="Arial"/>
        <family val="2"/>
      </rPr>
      <t>OE</t>
    </r>
  </si>
  <si>
    <r>
      <t xml:space="preserve">Agregado SAC gravado Real </t>
    </r>
    <r>
      <rPr>
        <b/>
        <sz val="10"/>
        <color rgb="FFFF0000"/>
        <rFont val="Arial"/>
        <family val="2"/>
      </rPr>
      <t>OE</t>
    </r>
  </si>
  <si>
    <t xml:space="preserve">Primas de Seguro para casos de muerte         </t>
  </si>
  <si>
    <t xml:space="preserve">Primas riesgo de muerte y primas de ahorro   </t>
  </si>
  <si>
    <t xml:space="preserve">Aportes planes seguro Retiro Privado ctrol SSN </t>
  </si>
  <si>
    <t xml:space="preserve">40% de facturado Gastos Médicos y Paraméd  </t>
  </si>
  <si>
    <t>Junio-Diciembre</t>
  </si>
  <si>
    <t xml:space="preserve">Primas de Seguro para casos de muerte                                                     (anual) </t>
  </si>
  <si>
    <t>Primas riesgo de muerte y primas de ahorro                                                (anual)</t>
  </si>
  <si>
    <t>Adq cuotapartes FCI con fines de retiro                                                       (anual)</t>
  </si>
  <si>
    <t>40% de facturado Gastos Médicos y Paramédicos                                       (anual)</t>
  </si>
  <si>
    <t>Aportes planes seguro Retiro Privado ctrol SSN                                            (anual)</t>
  </si>
  <si>
    <t>retenido hasta dic:</t>
  </si>
  <si>
    <t>Pago a Cta computable (Anual)</t>
  </si>
  <si>
    <t>Pagos a cuenta total</t>
  </si>
  <si>
    <t>Tope Anual para deducciones por Prima Seguro  --&gt;  actualiz IPC oct/oct ant</t>
  </si>
  <si>
    <t>Tope Anual para deducciones por planes de seguro de retiro privados  --&gt;  actualiz IPC oct/oct ant</t>
  </si>
  <si>
    <t>Promedio para S.A.C.  (por semestre)</t>
  </si>
  <si>
    <t>Promedio para Bono Productividad (periodo fiscal anual)</t>
  </si>
  <si>
    <t xml:space="preserve">Horas extras </t>
  </si>
  <si>
    <t>Gastos Movilidad</t>
  </si>
  <si>
    <t>Gastos Viaticos</t>
  </si>
  <si>
    <t>Gastos otras compensaciones análogas</t>
  </si>
  <si>
    <t>Material didáctico personal docente</t>
  </si>
  <si>
    <t xml:space="preserve">Bonos de productividad </t>
  </si>
  <si>
    <t>Fallos de caja</t>
  </si>
  <si>
    <t xml:space="preserve">Conceptos de similar naturaleza </t>
  </si>
  <si>
    <t xml:space="preserve">Bonos de produtividad </t>
  </si>
  <si>
    <t xml:space="preserve">Fallos de caja </t>
  </si>
  <si>
    <t>poner "manual" (nunca x formula, por cambios posteriores)</t>
  </si>
  <si>
    <t>Bonos de productividad</t>
  </si>
  <si>
    <t>Conceptos de similar naturaleza</t>
  </si>
  <si>
    <t>Horas extras</t>
  </si>
  <si>
    <t>Movilidad y viáticos</t>
  </si>
  <si>
    <t>Bonos de produtividad</t>
  </si>
  <si>
    <t>Deducción Especial 12va parte</t>
  </si>
  <si>
    <t>Alquiler casa habitacion art 85 inc k)  10% Locatario</t>
  </si>
  <si>
    <t>Alquiler casa habitacion art 85 inc k)  10% Locador</t>
  </si>
  <si>
    <t xml:space="preserve">Alquiler casa habitacion art 85 inc k)  10% </t>
  </si>
  <si>
    <t>Impuesto determinado</t>
  </si>
  <si>
    <t>Pagos a Cuenta total:</t>
  </si>
  <si>
    <t>Adq cuotapartes FCI con fines de retiro        (sin reglam)</t>
  </si>
  <si>
    <t>Tabla art. 94º (%)</t>
  </si>
  <si>
    <t>´- Pagos a Cuenta    --&gt;  (liq anual o final)  :</t>
  </si>
  <si>
    <t>SUGERIDO:</t>
  </si>
  <si>
    <t>(antes de modif retro)</t>
  </si>
  <si>
    <t>Imp Determ h/ deveng junio ley 27.743:</t>
  </si>
  <si>
    <t>Imp retenido h/ deveng junio ley 27.725:</t>
  </si>
  <si>
    <t>D.E. (Pago Cta) art 83 Ley 27.743</t>
  </si>
  <si>
    <t>Deducción especial 2do párrafo art 30    (mes)</t>
  </si>
  <si>
    <t>Deducción especial 2do párrafo art 30    (acumulada)</t>
  </si>
  <si>
    <r>
      <t xml:space="preserve">Prorrateo de la 12va parte del SAC </t>
    </r>
    <r>
      <rPr>
        <b/>
        <sz val="10"/>
        <color rgb="FF7030A0"/>
        <rFont val="Arial"/>
        <family val="2"/>
      </rPr>
      <t>(Bruto)</t>
    </r>
    <r>
      <rPr>
        <sz val="10"/>
        <color rgb="FF7030A0"/>
        <rFont val="Arial"/>
        <family val="2"/>
        <charset val="1"/>
      </rPr>
      <t xml:space="preserve">   agente retencion</t>
    </r>
  </si>
  <si>
    <t>SAC Neto 12va parte  agente de retencion</t>
  </si>
  <si>
    <t>12va parte del SAC (otros empleos)</t>
  </si>
  <si>
    <r>
      <t xml:space="preserve">Prorrateo de la 12va parte del SAC </t>
    </r>
    <r>
      <rPr>
        <b/>
        <sz val="10"/>
        <color rgb="FF7030A0"/>
        <rFont val="Arial"/>
        <family val="2"/>
      </rPr>
      <t>(Bruto)</t>
    </r>
    <r>
      <rPr>
        <sz val="10"/>
        <color rgb="FF7030A0"/>
        <rFont val="Arial"/>
        <family val="2"/>
        <charset val="1"/>
      </rPr>
      <t xml:space="preserve">   otros empleos</t>
    </r>
  </si>
  <si>
    <t xml:space="preserve">SAC primera cuota </t>
  </si>
  <si>
    <t xml:space="preserve">SAC segunda cuota </t>
  </si>
  <si>
    <t>Jubilación</t>
  </si>
  <si>
    <t xml:space="preserve">SAC bruto </t>
  </si>
  <si>
    <t>Ot Emp SAC primera cuota</t>
  </si>
  <si>
    <t>Ot Emp SAC segunda cuota</t>
  </si>
  <si>
    <t>TOTAL REMUNERACIÓN GRAVADA ACUMULADA</t>
  </si>
  <si>
    <t>SiRADIG posterior</t>
  </si>
  <si>
    <t>a la DE art 83º</t>
  </si>
  <si>
    <t>Hijos &lt; 18 años</t>
  </si>
  <si>
    <t>Ded Pers art 30</t>
  </si>
  <si>
    <t>ENERO</t>
  </si>
  <si>
    <t>ACUM A FEBRERO</t>
  </si>
  <si>
    <t>ACUM A MARZO</t>
  </si>
  <si>
    <t>ACUM A ABRIL</t>
  </si>
  <si>
    <t>más de:</t>
  </si>
  <si>
    <t>Alic. %</t>
  </si>
  <si>
    <t>ACUM A MAYO</t>
  </si>
  <si>
    <t>ACUM A JUNIO</t>
  </si>
  <si>
    <t>ACUM A JULIO</t>
  </si>
  <si>
    <t>ACUM A AGOSTO</t>
  </si>
  <si>
    <t>ACUM A SEPTIEMBRE</t>
  </si>
  <si>
    <t>ACUM A OCTUBRE</t>
  </si>
  <si>
    <t>ACUM A NOVIEMBRE</t>
  </si>
  <si>
    <t>ACUM A DICIEMBRE</t>
  </si>
  <si>
    <t>TABLA ART 94 ANUAL</t>
  </si>
  <si>
    <t>CP LEANDRO PLANO</t>
  </si>
  <si>
    <t>exencion Bono Prod.</t>
  </si>
  <si>
    <t>Conyuge / Unión C.</t>
  </si>
  <si>
    <t>Hijos incapacitados</t>
  </si>
  <si>
    <t>Ded Esp  30 c) ap. 2]</t>
  </si>
  <si>
    <r>
      <t>(*) Se ponen los importes "</t>
    </r>
    <r>
      <rPr>
        <b/>
        <sz val="11"/>
        <color rgb="FF000000"/>
        <rFont val="Arial"/>
        <family val="2"/>
      </rPr>
      <t>anual</t>
    </r>
    <r>
      <rPr>
        <sz val="11"/>
        <color rgb="FF000000"/>
        <rFont val="Arial"/>
        <family val="2"/>
      </rPr>
      <t>"</t>
    </r>
  </si>
  <si>
    <t>BI Máx aportes DIC ant.</t>
  </si>
  <si>
    <r>
      <t xml:space="preserve">Dato para los que pagan devengado diciembre en enero sig. </t>
    </r>
    <r>
      <rPr>
        <u/>
        <sz val="8"/>
        <rFont val="Arial"/>
        <family val="2"/>
      </rPr>
      <t>Por Ejemplo</t>
    </r>
    <r>
      <rPr>
        <sz val="8"/>
        <rFont val="Arial"/>
        <family val="2"/>
      </rPr>
      <t>: dev dic23 se paga ene24.</t>
    </r>
  </si>
  <si>
    <r>
      <t xml:space="preserve">Impuesto Ganancias del mes   -&gt;  el de la </t>
    </r>
    <r>
      <rPr>
        <b/>
        <sz val="10"/>
        <color rgb="FF000000"/>
        <rFont val="Arial"/>
        <family val="2"/>
      </rPr>
      <t>fila 302</t>
    </r>
  </si>
  <si>
    <t>Credito art 6 RG</t>
  </si>
  <si>
    <t>usado</t>
  </si>
  <si>
    <t>saldo a usar</t>
  </si>
  <si>
    <t>Actualiz sep24: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</si>
</sst>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_ ;_ @_ "/>
    <numFmt numFmtId="165" formatCode="mmmm"/>
    <numFmt numFmtId="166" formatCode="0.0000"/>
    <numFmt numFmtId="167" formatCode="0.00\ %"/>
    <numFmt numFmtId="168" formatCode="_-[$$-2C0A]\ * #,##0.00_-;\-[$$-2C0A]\ * #,##0.00_-;_-[$$-2C0A]\ * &quot;-&quot;??_-;_-@_-"/>
  </numFmts>
  <fonts count="148" x14ac:knownFonts="1">
    <font>
      <sz val="10"/>
      <color rgb="FF000000"/>
      <name val="Arial"/>
      <charset val="1"/>
    </font>
    <font>
      <b/>
      <sz val="10"/>
      <color rgb="FF000000"/>
      <name val="Arial"/>
      <family val="2"/>
      <charset val="1"/>
    </font>
    <font>
      <sz val="10"/>
      <color rgb="FF000000"/>
      <name val="Arial"/>
      <family val="2"/>
      <charset val="1"/>
    </font>
    <font>
      <sz val="10"/>
      <color rgb="FF0000FF"/>
      <name val="Arial"/>
      <family val="2"/>
      <charset val="1"/>
    </font>
    <font>
      <b/>
      <i/>
      <u/>
      <sz val="14"/>
      <color rgb="FF0000FF"/>
      <name val="Arial"/>
      <family val="2"/>
      <charset val="1"/>
    </font>
    <font>
      <b/>
      <sz val="10"/>
      <color rgb="FF0000FF"/>
      <name val="Arial"/>
      <family val="2"/>
      <charset val="1"/>
    </font>
    <font>
      <b/>
      <sz val="11"/>
      <color rgb="FF000000"/>
      <name val="Arial"/>
      <family val="2"/>
      <charset val="1"/>
    </font>
    <font>
      <b/>
      <sz val="10"/>
      <name val="Arial"/>
      <family val="2"/>
      <charset val="1"/>
    </font>
    <font>
      <sz val="8"/>
      <color rgb="FF403152"/>
      <name val="Arial"/>
      <family val="2"/>
      <charset val="1"/>
    </font>
    <font>
      <b/>
      <sz val="10"/>
      <color rgb="FFA6A6A6"/>
      <name val="Arial"/>
      <family val="2"/>
      <charset val="1"/>
    </font>
    <font>
      <sz val="10"/>
      <color rgb="FFFEBAAC"/>
      <name val="Arial"/>
      <family val="2"/>
      <charset val="1"/>
    </font>
    <font>
      <b/>
      <sz val="10"/>
      <color rgb="FFFF0000"/>
      <name val="Arial"/>
      <family val="2"/>
      <charset val="1"/>
    </font>
    <font>
      <sz val="10"/>
      <name val="Arial"/>
      <family val="2"/>
      <charset val="1"/>
    </font>
    <font>
      <sz val="10"/>
      <color rgb="FF7030A0"/>
      <name val="Arial"/>
      <family val="2"/>
      <charset val="1"/>
    </font>
    <font>
      <b/>
      <sz val="10"/>
      <color rgb="FF7030A0"/>
      <name val="Arial"/>
      <family val="2"/>
      <charset val="1"/>
    </font>
    <font>
      <sz val="10"/>
      <color rgb="FFD9D9D9"/>
      <name val="Arial"/>
      <family val="2"/>
      <charset val="1"/>
    </font>
    <font>
      <sz val="10"/>
      <color rgb="FFFFFFCC"/>
      <name val="Arial"/>
      <family val="2"/>
      <charset val="1"/>
    </font>
    <font>
      <sz val="10"/>
      <color rgb="FFFF8F8F"/>
      <name val="Arial"/>
      <family val="2"/>
      <charset val="1"/>
    </font>
    <font>
      <b/>
      <sz val="10"/>
      <color rgb="FF8500A4"/>
      <name val="Arial"/>
      <family val="2"/>
      <charset val="1"/>
    </font>
    <font>
      <sz val="10"/>
      <color rgb="FF8500A4"/>
      <name val="Arial"/>
      <family val="2"/>
      <charset val="1"/>
    </font>
    <font>
      <sz val="10"/>
      <color rgb="FFE98BFF"/>
      <name val="Arial"/>
      <family val="2"/>
      <charset val="1"/>
    </font>
    <font>
      <sz val="11"/>
      <color rgb="FF000000"/>
      <name val="Arial"/>
      <family val="2"/>
      <charset val="1"/>
    </font>
    <font>
      <sz val="10"/>
      <color rgb="FFEB97FF"/>
      <name val="Arial"/>
      <family val="2"/>
      <charset val="1"/>
    </font>
    <font>
      <sz val="10"/>
      <color rgb="FFFF0000"/>
      <name val="Arial"/>
      <family val="2"/>
      <charset val="1"/>
    </font>
    <font>
      <b/>
      <sz val="9"/>
      <color rgb="FF000000"/>
      <name val="Tahoma"/>
      <family val="2"/>
      <charset val="1"/>
    </font>
    <font>
      <b/>
      <u/>
      <sz val="9"/>
      <color rgb="FF000000"/>
      <name val="Tahoma"/>
      <family val="2"/>
      <charset val="1"/>
    </font>
    <font>
      <b/>
      <sz val="9"/>
      <color rgb="FF000000"/>
      <name val="Tahoma"/>
      <family val="2"/>
    </font>
    <font>
      <sz val="9"/>
      <color rgb="FF000000"/>
      <name val="Tahoma"/>
      <family val="2"/>
    </font>
    <font>
      <b/>
      <sz val="9"/>
      <color rgb="FF000000"/>
      <name val="Arial"/>
      <family val="2"/>
      <charset val="1"/>
    </font>
    <font>
      <b/>
      <i/>
      <sz val="12"/>
      <color rgb="FF000000"/>
      <name val="Arial"/>
      <family val="2"/>
      <charset val="1"/>
    </font>
    <font>
      <sz val="9"/>
      <color rgb="FF0000FF"/>
      <name val="Arial"/>
      <family val="2"/>
      <charset val="1"/>
    </font>
    <font>
      <sz val="9"/>
      <name val="Arial"/>
      <family val="2"/>
      <charset val="1"/>
    </font>
    <font>
      <sz val="10"/>
      <color rgb="FF000000"/>
      <name val="Arial"/>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7"/>
      <color rgb="FF000000"/>
      <name val="Arial"/>
      <family val="2"/>
    </font>
    <font>
      <b/>
      <u/>
      <sz val="9"/>
      <color indexed="81"/>
      <name val="Tahoma"/>
      <family val="2"/>
    </font>
    <font>
      <sz val="9"/>
      <color rgb="FF000000"/>
      <name val="Arial"/>
      <family val="2"/>
    </font>
    <font>
      <sz val="11"/>
      <color rgb="FF000000"/>
      <name val="Arial"/>
      <family val="2"/>
    </font>
    <font>
      <b/>
      <sz val="8"/>
      <color rgb="FF000000"/>
      <name val="Arial"/>
      <family val="2"/>
      <charset val="1"/>
    </font>
    <font>
      <sz val="9"/>
      <color rgb="FF7B7B7B"/>
      <name val="Arial"/>
      <family val="2"/>
    </font>
    <font>
      <sz val="10"/>
      <name val="Arial"/>
      <family val="2"/>
    </font>
    <font>
      <sz val="10"/>
      <color rgb="FFD7D7D7"/>
      <name val="Arial"/>
      <family val="2"/>
      <charset val="1"/>
    </font>
    <font>
      <i/>
      <sz val="8"/>
      <color rgb="FF0000DE"/>
      <name val="Arial"/>
      <family val="2"/>
    </font>
    <font>
      <sz val="10"/>
      <color rgb="FF646464"/>
      <name val="Arial"/>
      <family val="2"/>
    </font>
    <font>
      <sz val="10"/>
      <color rgb="FF0000FF"/>
      <name val="Arial"/>
      <family val="2"/>
    </font>
    <font>
      <b/>
      <sz val="11"/>
      <color rgb="FF000000"/>
      <name val="Arial"/>
      <family val="2"/>
    </font>
    <font>
      <b/>
      <sz val="10"/>
      <name val="Arial"/>
      <family val="2"/>
    </font>
    <font>
      <b/>
      <sz val="10"/>
      <color rgb="FF9F9FFF"/>
      <name val="Arial"/>
      <family val="2"/>
    </font>
    <font>
      <b/>
      <u/>
      <sz val="11"/>
      <color rgb="FF000000"/>
      <name val="Arial"/>
      <family val="2"/>
    </font>
    <font>
      <sz val="8"/>
      <color rgb="FF000000"/>
      <name val="Arial"/>
      <family val="2"/>
    </font>
    <font>
      <b/>
      <sz val="10"/>
      <color theme="0" tint="-0.14999847407452621"/>
      <name val="Arial"/>
      <family val="2"/>
      <charset val="1"/>
    </font>
    <font>
      <b/>
      <sz val="10"/>
      <color theme="0" tint="-0.249977111117893"/>
      <name val="Arial"/>
      <family val="2"/>
      <charset val="1"/>
    </font>
    <font>
      <sz val="10"/>
      <color rgb="FFFF9B9B"/>
      <name val="Arial"/>
      <family val="2"/>
    </font>
    <font>
      <sz val="10"/>
      <color rgb="FFFF9B9B"/>
      <name val="Arial"/>
      <family val="2"/>
      <charset val="1"/>
    </font>
    <font>
      <b/>
      <sz val="11"/>
      <color rgb="FFE98BFF"/>
      <name val="Arial"/>
      <family val="2"/>
    </font>
    <font>
      <sz val="10"/>
      <color rgb="FFFF0000"/>
      <name val="Arial"/>
      <family val="2"/>
    </font>
    <font>
      <sz val="10"/>
      <color theme="0" tint="-4.9989318521683403E-2"/>
      <name val="Arial"/>
      <family val="2"/>
    </font>
    <font>
      <i/>
      <sz val="10"/>
      <color rgb="FF000000"/>
      <name val="Arial"/>
      <family val="2"/>
    </font>
    <font>
      <b/>
      <sz val="11"/>
      <color rgb="FF0000FF"/>
      <name val="Arial"/>
      <family val="2"/>
    </font>
    <font>
      <b/>
      <sz val="16"/>
      <color rgb="FF000000"/>
      <name val="Arial"/>
      <family val="2"/>
    </font>
    <font>
      <i/>
      <sz val="9"/>
      <color rgb="FF000000"/>
      <name val="Arial"/>
      <family val="2"/>
    </font>
    <font>
      <b/>
      <sz val="8"/>
      <color rgb="FF0000FF"/>
      <name val="Arial"/>
      <family val="2"/>
    </font>
    <font>
      <b/>
      <sz val="10"/>
      <color rgb="FF0000FF"/>
      <name val="Arial"/>
      <family val="2"/>
    </font>
    <font>
      <b/>
      <sz val="11"/>
      <color indexed="81"/>
      <name val="Tahoma"/>
      <family val="2"/>
    </font>
    <font>
      <b/>
      <sz val="9"/>
      <color rgb="FF0000FF"/>
      <name val="Arial"/>
      <family val="2"/>
    </font>
    <font>
      <b/>
      <i/>
      <u/>
      <sz val="14"/>
      <name val="Arial"/>
      <family val="2"/>
      <charset val="1"/>
    </font>
    <font>
      <b/>
      <sz val="10"/>
      <color rgb="FF686868"/>
      <name val="Arial"/>
      <family val="2"/>
      <charset val="1"/>
    </font>
    <font>
      <b/>
      <sz val="11"/>
      <color rgb="FF8500A4"/>
      <name val="Arial"/>
      <family val="2"/>
      <charset val="1"/>
    </font>
    <font>
      <sz val="10"/>
      <color rgb="FF000000"/>
      <name val="Arial"/>
      <family val="2"/>
    </font>
    <font>
      <sz val="9"/>
      <color rgb="FF000000"/>
      <name val="Arial"/>
      <family val="2"/>
      <charset val="1"/>
    </font>
    <font>
      <b/>
      <sz val="10"/>
      <color indexed="81"/>
      <name val="Tahoma"/>
      <family val="2"/>
    </font>
    <font>
      <b/>
      <u/>
      <sz val="10"/>
      <color indexed="81"/>
      <name val="Tahoma"/>
      <family val="2"/>
    </font>
    <font>
      <b/>
      <u/>
      <sz val="14"/>
      <color indexed="81"/>
      <name val="Tw Cen MT Condensed Extra Bold"/>
      <family val="2"/>
    </font>
    <font>
      <u/>
      <sz val="9"/>
      <color indexed="81"/>
      <name val="Tahoma"/>
      <family val="2"/>
    </font>
    <font>
      <b/>
      <u/>
      <sz val="10"/>
      <color rgb="FF000000"/>
      <name val="Arial"/>
      <family val="2"/>
    </font>
    <font>
      <b/>
      <sz val="12"/>
      <color rgb="FF000000"/>
      <name val="Arial"/>
      <family val="2"/>
    </font>
    <font>
      <sz val="11"/>
      <color indexed="81"/>
      <name val="Tahoma"/>
      <family val="2"/>
    </font>
    <font>
      <b/>
      <sz val="10"/>
      <color rgb="FFFF0000"/>
      <name val="Arial"/>
      <family val="2"/>
    </font>
    <font>
      <b/>
      <sz val="10"/>
      <color rgb="FF8500A4"/>
      <name val="Arial"/>
      <family val="2"/>
    </font>
    <font>
      <sz val="10"/>
      <color rgb="FFFF7575"/>
      <name val="Arial"/>
      <family val="2"/>
    </font>
    <font>
      <sz val="10"/>
      <color theme="0"/>
      <name val="Arial"/>
      <family val="2"/>
    </font>
    <font>
      <sz val="8"/>
      <color theme="0"/>
      <name val="Arial"/>
      <family val="2"/>
    </font>
    <font>
      <b/>
      <sz val="9"/>
      <color rgb="FF0000FF"/>
      <name val="Arial"/>
      <family val="2"/>
      <charset val="1"/>
    </font>
    <font>
      <sz val="10"/>
      <color theme="2" tint="-0.249977111117893"/>
      <name val="Arial"/>
      <family val="2"/>
    </font>
    <font>
      <b/>
      <u/>
      <sz val="8"/>
      <color theme="2" tint="-0.249977111117893"/>
      <name val="Arial"/>
      <family val="2"/>
    </font>
    <font>
      <b/>
      <sz val="16"/>
      <color rgb="FFFF0000"/>
      <name val="Arial"/>
      <family val="2"/>
    </font>
    <font>
      <b/>
      <i/>
      <sz val="10"/>
      <color rgb="FFFF0000"/>
      <name val="Arial"/>
      <family val="2"/>
    </font>
    <font>
      <sz val="10"/>
      <color theme="0" tint="-0.249977111117893"/>
      <name val="Arial"/>
      <family val="2"/>
    </font>
    <font>
      <b/>
      <i/>
      <u/>
      <sz val="11"/>
      <color indexed="81"/>
      <name val="Tahoma"/>
      <family val="2"/>
    </font>
    <font>
      <b/>
      <sz val="9"/>
      <color theme="0"/>
      <name val="Arial"/>
      <family val="2"/>
      <charset val="1"/>
    </font>
    <font>
      <b/>
      <sz val="8"/>
      <color rgb="FF0000FF"/>
      <name val="Arial"/>
      <family val="2"/>
      <charset val="1"/>
    </font>
    <font>
      <b/>
      <u/>
      <sz val="11"/>
      <name val="Arial"/>
      <family val="2"/>
    </font>
    <font>
      <b/>
      <sz val="11"/>
      <name val="Arial"/>
      <family val="2"/>
    </font>
    <font>
      <b/>
      <u/>
      <sz val="11"/>
      <color rgb="FFFF0000"/>
      <name val="Arial"/>
      <family val="2"/>
    </font>
    <font>
      <sz val="11"/>
      <name val="Arial"/>
      <family val="2"/>
    </font>
    <font>
      <b/>
      <sz val="9"/>
      <color rgb="FF000000"/>
      <name val="Arial"/>
      <family val="2"/>
    </font>
    <font>
      <i/>
      <sz val="10"/>
      <name val="Arial"/>
      <family val="2"/>
    </font>
    <font>
      <b/>
      <i/>
      <sz val="9"/>
      <color rgb="FF000000"/>
      <name val="Arial"/>
      <family val="2"/>
      <charset val="1"/>
    </font>
    <font>
      <sz val="10"/>
      <color rgb="FFFFA3A3"/>
      <name val="Arial"/>
      <family val="2"/>
      <charset val="1"/>
    </font>
    <font>
      <b/>
      <sz val="11"/>
      <color rgb="FF686868"/>
      <name val="Arial"/>
      <family val="2"/>
      <charset val="1"/>
    </font>
    <font>
      <b/>
      <u/>
      <sz val="11"/>
      <color rgb="FF686868"/>
      <name val="Arial"/>
      <family val="2"/>
      <charset val="1"/>
    </font>
    <font>
      <i/>
      <sz val="9"/>
      <color rgb="FF0000FF"/>
      <name val="Arial"/>
      <family val="2"/>
    </font>
    <font>
      <i/>
      <sz val="9"/>
      <name val="Arial"/>
      <family val="2"/>
    </font>
    <font>
      <i/>
      <sz val="7"/>
      <color rgb="FF000000"/>
      <name val="Arial"/>
      <family val="2"/>
    </font>
    <font>
      <b/>
      <sz val="14"/>
      <color indexed="81"/>
      <name val="Tahoma"/>
      <family val="2"/>
    </font>
    <font>
      <b/>
      <sz val="10"/>
      <color rgb="FF7030A0"/>
      <name val="Arial"/>
      <family val="2"/>
    </font>
    <font>
      <sz val="8"/>
      <name val="Arial"/>
      <family val="2"/>
    </font>
    <font>
      <sz val="8"/>
      <color rgb="FFFF0000"/>
      <name val="Arial"/>
      <family val="2"/>
    </font>
    <font>
      <b/>
      <sz val="8"/>
      <color rgb="FF000000"/>
      <name val="Arial"/>
      <family val="2"/>
    </font>
    <font>
      <i/>
      <sz val="8"/>
      <color rgb="FF000000"/>
      <name val="Arial"/>
      <family val="2"/>
    </font>
    <font>
      <sz val="8"/>
      <color rgb="FF0000FF"/>
      <name val="Arial"/>
      <family val="2"/>
    </font>
    <font>
      <b/>
      <sz val="8"/>
      <name val="Arial"/>
      <family val="2"/>
    </font>
    <font>
      <b/>
      <sz val="10"/>
      <color theme="2" tint="-0.89999084444715716"/>
      <name val="Arial"/>
      <family val="2"/>
    </font>
    <font>
      <sz val="11"/>
      <color rgb="FF0000FF"/>
      <name val="Arial"/>
      <family val="2"/>
    </font>
    <font>
      <u/>
      <sz val="11"/>
      <name val="Arial"/>
      <family val="2"/>
    </font>
    <font>
      <b/>
      <sz val="10"/>
      <color theme="8" tint="0.59999389629810485"/>
      <name val="Arial"/>
      <family val="2"/>
      <charset val="1"/>
    </font>
    <font>
      <sz val="9"/>
      <color rgb="FFFF0000"/>
      <name val="Arial"/>
      <family val="2"/>
    </font>
    <font>
      <b/>
      <sz val="9"/>
      <color rgb="FFFF0000"/>
      <name val="Arial"/>
      <family val="2"/>
    </font>
    <font>
      <b/>
      <sz val="8"/>
      <color rgb="FFFF0000"/>
      <name val="Arial"/>
      <family val="2"/>
    </font>
    <font>
      <b/>
      <u/>
      <sz val="9"/>
      <color rgb="FFFF0000"/>
      <name val="Arial"/>
      <family val="2"/>
    </font>
    <font>
      <sz val="8"/>
      <color theme="0" tint="-4.9989318521683403E-2"/>
      <name val="Arial"/>
      <family val="2"/>
    </font>
    <font>
      <sz val="9"/>
      <color theme="0"/>
      <name val="Arial"/>
      <family val="2"/>
    </font>
    <font>
      <i/>
      <sz val="8"/>
      <color theme="2"/>
      <name val="Arial"/>
      <family val="2"/>
    </font>
    <font>
      <b/>
      <sz val="10"/>
      <color theme="0"/>
      <name val="Arial"/>
      <family val="2"/>
      <charset val="1"/>
    </font>
    <font>
      <b/>
      <i/>
      <sz val="10"/>
      <color theme="8" tint="-0.499984740745262"/>
      <name val="Arial"/>
      <family val="2"/>
    </font>
    <font>
      <b/>
      <i/>
      <sz val="14"/>
      <color rgb="FF0000FF"/>
      <name val="Arial"/>
      <family val="2"/>
    </font>
    <font>
      <u/>
      <sz val="10"/>
      <color rgb="FFFF0000"/>
      <name val="Arial"/>
      <family val="2"/>
    </font>
    <font>
      <i/>
      <sz val="8"/>
      <name val="Arial"/>
      <family val="2"/>
    </font>
    <font>
      <i/>
      <u/>
      <sz val="10"/>
      <color rgb="FF000000"/>
      <name val="Arial"/>
      <family val="2"/>
    </font>
    <font>
      <sz val="9"/>
      <color theme="0" tint="-0.499984740745262"/>
      <name val="Arial"/>
      <family val="2"/>
    </font>
    <font>
      <sz val="10"/>
      <color theme="0"/>
      <name val="Arial"/>
      <family val="2"/>
      <charset val="1"/>
    </font>
    <font>
      <b/>
      <sz val="9"/>
      <color rgb="FF2E2E2E"/>
      <name val="Arial"/>
      <family val="2"/>
    </font>
    <font>
      <sz val="9"/>
      <color theme="8" tint="-0.499984740745262"/>
      <name val="Arial"/>
      <family val="2"/>
      <charset val="1"/>
    </font>
    <font>
      <sz val="8"/>
      <color theme="8" tint="-0.499984740745262"/>
      <name val="Arial"/>
      <family val="2"/>
      <charset val="1"/>
    </font>
    <font>
      <sz val="9"/>
      <color rgb="FFFF0000"/>
      <name val="Arial"/>
      <family val="2"/>
      <charset val="1"/>
    </font>
    <font>
      <b/>
      <u/>
      <sz val="12"/>
      <color indexed="81"/>
      <name val="Tahoma"/>
      <family val="2"/>
    </font>
    <font>
      <b/>
      <i/>
      <sz val="10"/>
      <color rgb="FF000000"/>
      <name val="Arial"/>
      <family val="2"/>
    </font>
    <font>
      <b/>
      <sz val="10"/>
      <color theme="6" tint="-0.499984740745262"/>
      <name val="Arial"/>
      <family val="2"/>
    </font>
    <font>
      <b/>
      <i/>
      <sz val="10"/>
      <color theme="6" tint="-0.499984740745262"/>
      <name val="Arial"/>
      <family val="2"/>
    </font>
    <font>
      <sz val="10"/>
      <color theme="6" tint="-0.499984740745262"/>
      <name val="Arial"/>
      <family val="2"/>
    </font>
    <font>
      <i/>
      <sz val="9"/>
      <color rgb="FFFF0000"/>
      <name val="Arial"/>
      <family val="2"/>
    </font>
    <font>
      <b/>
      <sz val="10"/>
      <color theme="5" tint="-0.249977111117893"/>
      <name val="Arial"/>
      <family val="2"/>
    </font>
    <font>
      <b/>
      <sz val="28"/>
      <color rgb="FFFF0000"/>
      <name val="Arial"/>
      <family val="2"/>
    </font>
    <font>
      <sz val="8"/>
      <color rgb="FF0000CC"/>
      <name val="Arial"/>
      <family val="2"/>
    </font>
    <font>
      <u/>
      <sz val="8"/>
      <name val="Arial"/>
      <family val="2"/>
    </font>
  </fonts>
  <fills count="56">
    <fill>
      <patternFill patternType="none"/>
    </fill>
    <fill>
      <patternFill patternType="gray125"/>
    </fill>
    <fill>
      <patternFill patternType="solid">
        <fgColor rgb="FFDBEEF4"/>
        <bgColor rgb="FFDCE6F2"/>
      </patternFill>
    </fill>
    <fill>
      <patternFill patternType="solid">
        <fgColor rgb="FFC0C0C0"/>
        <bgColor rgb="FFC3D69B"/>
      </patternFill>
    </fill>
    <fill>
      <patternFill patternType="solid">
        <fgColor rgb="FFD9D9D9"/>
        <bgColor rgb="FFD7E4BD"/>
      </patternFill>
    </fill>
    <fill>
      <patternFill patternType="solid">
        <fgColor rgb="FFDCE6F2"/>
        <bgColor rgb="FFDBEEF4"/>
      </patternFill>
    </fill>
    <fill>
      <patternFill patternType="solid">
        <fgColor theme="4" tint="0.79998168889431442"/>
        <bgColor indexed="64"/>
      </patternFill>
    </fill>
    <fill>
      <patternFill patternType="solid">
        <fgColor rgb="FFF8FAB4"/>
        <bgColor indexed="64"/>
      </patternFill>
    </fill>
    <fill>
      <patternFill patternType="solid">
        <fgColor theme="8" tint="0.79998168889431442"/>
        <bgColor rgb="FFDCE6F2"/>
      </patternFill>
    </fill>
    <fill>
      <patternFill patternType="solid">
        <fgColor theme="8"/>
        <bgColor indexed="64"/>
      </patternFill>
    </fill>
    <fill>
      <patternFill patternType="solid">
        <fgColor rgb="FFFFCC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00"/>
        <bgColor rgb="FFFFFFCC"/>
      </patternFill>
    </fill>
    <fill>
      <patternFill patternType="solid">
        <fgColor theme="8"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E5E5FF"/>
        <bgColor indexed="64"/>
      </patternFill>
    </fill>
    <fill>
      <patternFill patternType="solid">
        <fgColor theme="7" tint="0.59999389629810485"/>
        <bgColor rgb="FFD9D9D9"/>
      </patternFill>
    </fill>
    <fill>
      <patternFill patternType="solid">
        <fgColor rgb="FFFFFF00"/>
        <bgColor rgb="FFD7E4BD"/>
      </patternFill>
    </fill>
    <fill>
      <patternFill patternType="solid">
        <fgColor rgb="FFEBEBFF"/>
        <bgColor indexed="64"/>
      </patternFill>
    </fill>
    <fill>
      <patternFill patternType="solid">
        <fgColor rgb="FFF9FAC6"/>
        <bgColor indexed="64"/>
      </patternFill>
    </fill>
    <fill>
      <patternFill patternType="solid">
        <fgColor rgb="FFF9FAC6"/>
        <bgColor rgb="FFFFFFCC"/>
      </patternFill>
    </fill>
    <fill>
      <patternFill patternType="solid">
        <fgColor theme="0" tint="-0.249977111117893"/>
        <bgColor rgb="FFFFFFCC"/>
      </patternFill>
    </fill>
    <fill>
      <patternFill patternType="solid">
        <fgColor rgb="FFF5F7A9"/>
        <bgColor rgb="FFD9D9D9"/>
      </patternFill>
    </fill>
    <fill>
      <patternFill patternType="solid">
        <fgColor rgb="FFF5F7A9"/>
        <bgColor indexed="64"/>
      </patternFill>
    </fill>
    <fill>
      <patternFill patternType="solid">
        <fgColor rgb="FFF5F7A9"/>
        <bgColor rgb="FFFFFFE5"/>
      </patternFill>
    </fill>
    <fill>
      <patternFill patternType="solid">
        <fgColor theme="7" tint="0.79998168889431442"/>
        <bgColor indexed="64"/>
      </patternFill>
    </fill>
    <fill>
      <patternFill patternType="solid">
        <fgColor theme="2" tint="-0.89999084444715716"/>
        <bgColor rgb="FFC3D69B"/>
      </patternFill>
    </fill>
    <fill>
      <patternFill patternType="solid">
        <fgColor theme="2" tint="-0.89999084444715716"/>
        <bgColor indexed="64"/>
      </patternFill>
    </fill>
    <fill>
      <patternFill patternType="solid">
        <fgColor theme="1"/>
        <bgColor indexed="64"/>
      </patternFill>
    </fill>
    <fill>
      <patternFill patternType="solid">
        <fgColor rgb="FFFFC9FF"/>
        <bgColor rgb="FFFFFF00"/>
      </patternFill>
    </fill>
    <fill>
      <patternFill patternType="solid">
        <fgColor theme="0" tint="-0.14999847407452621"/>
        <bgColor rgb="FFFFFFE5"/>
      </patternFill>
    </fill>
    <fill>
      <patternFill patternType="solid">
        <fgColor rgb="FFFCE3FD"/>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2" tint="-0.249977111117893"/>
        <bgColor rgb="FFC3D69B"/>
      </patternFill>
    </fill>
    <fill>
      <patternFill patternType="solid">
        <fgColor rgb="FFF9FAC6"/>
        <bgColor rgb="FFFFFFE5"/>
      </patternFill>
    </fill>
    <fill>
      <patternFill patternType="solid">
        <fgColor theme="7" tint="0.59999389629810485"/>
        <bgColor indexed="64"/>
      </patternFill>
    </fill>
    <fill>
      <patternFill patternType="solid">
        <fgColor rgb="FFFFFED1"/>
        <bgColor indexed="64"/>
      </patternFill>
    </fill>
    <fill>
      <patternFill patternType="solid">
        <fgColor theme="9" tint="-0.249977111117893"/>
        <bgColor indexed="64"/>
      </patternFill>
    </fill>
    <fill>
      <patternFill patternType="solid">
        <fgColor rgb="FFFFC000"/>
        <bgColor indexed="64"/>
      </patternFill>
    </fill>
    <fill>
      <patternFill patternType="solid">
        <fgColor rgb="FFFFC000"/>
        <bgColor rgb="FFC3D69B"/>
      </patternFill>
    </fill>
    <fill>
      <patternFill patternType="solid">
        <fgColor rgb="FFFFC000"/>
        <bgColor rgb="FFFFFFE5"/>
      </patternFill>
    </fill>
    <fill>
      <patternFill patternType="solid">
        <fgColor theme="9"/>
        <bgColor indexed="64"/>
      </patternFill>
    </fill>
    <fill>
      <patternFill patternType="solid">
        <fgColor rgb="FFFFFFC9"/>
        <bgColor indexed="64"/>
      </patternFill>
    </fill>
    <fill>
      <patternFill patternType="solid">
        <fgColor rgb="FFE3DE00"/>
        <bgColor indexed="64"/>
      </patternFill>
    </fill>
    <fill>
      <patternFill patternType="solid">
        <fgColor rgb="FFFFC000"/>
        <bgColor rgb="FFDBEEF4"/>
      </patternFill>
    </fill>
    <fill>
      <patternFill patternType="solid">
        <fgColor rgb="FFFFC000"/>
        <bgColor rgb="FFD9D9D9"/>
      </patternFill>
    </fill>
    <fill>
      <patternFill patternType="solid">
        <fgColor theme="9" tint="0.39997558519241921"/>
        <bgColor indexed="64"/>
      </patternFill>
    </fill>
    <fill>
      <patternFill patternType="solid">
        <fgColor theme="9"/>
        <bgColor rgb="FFD9D9D9"/>
      </patternFill>
    </fill>
    <fill>
      <patternFill patternType="solid">
        <fgColor theme="6" tint="0.39997558519241921"/>
        <bgColor rgb="FFFEBAAC"/>
      </patternFill>
    </fill>
  </fills>
  <borders count="6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rgb="FF141312"/>
      </bottom>
      <diagonal/>
    </border>
    <border>
      <left/>
      <right/>
      <top/>
      <bottom style="medium">
        <color rgb="FF141312"/>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double">
        <color indexed="64"/>
      </bottom>
      <diagonal/>
    </border>
    <border>
      <left/>
      <right/>
      <top style="double">
        <color indexed="64"/>
      </top>
      <bottom style="double">
        <color indexed="64"/>
      </bottom>
      <diagonal/>
    </border>
    <border>
      <left style="medium">
        <color auto="1"/>
      </left>
      <right/>
      <top/>
      <bottom style="double">
        <color indexed="64"/>
      </bottom>
      <diagonal/>
    </border>
    <border>
      <left/>
      <right style="medium">
        <color auto="1"/>
      </right>
      <top/>
      <bottom style="double">
        <color indexed="64"/>
      </bottom>
      <diagonal/>
    </border>
    <border>
      <left style="medium">
        <color auto="1"/>
      </left>
      <right/>
      <top style="double">
        <color indexed="64"/>
      </top>
      <bottom style="double">
        <color indexed="64"/>
      </bottom>
      <diagonal/>
    </border>
    <border>
      <left/>
      <right style="medium">
        <color auto="1"/>
      </right>
      <top style="double">
        <color indexed="64"/>
      </top>
      <bottom style="double">
        <color indexed="64"/>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medium">
        <color rgb="FF141312"/>
      </top>
      <bottom/>
      <diagonal/>
    </border>
    <border>
      <left/>
      <right style="thin">
        <color auto="1"/>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medium">
        <color rgb="FF141312"/>
      </bottom>
      <diagonal/>
    </border>
    <border>
      <left style="thin">
        <color auto="1"/>
      </left>
      <right style="thin">
        <color auto="1"/>
      </right>
      <top style="medium">
        <color indexed="64"/>
      </top>
      <bottom style="thin">
        <color auto="1"/>
      </bottom>
      <diagonal/>
    </border>
  </borders>
  <cellStyleXfs count="3">
    <xf numFmtId="0" fontId="0" fillId="0" borderId="0"/>
    <xf numFmtId="164" fontId="32" fillId="0" borderId="0" applyBorder="0" applyProtection="0"/>
    <xf numFmtId="9" fontId="71" fillId="0" borderId="0" applyFont="0" applyFill="0" applyBorder="0" applyAlignment="0" applyProtection="0"/>
  </cellStyleXfs>
  <cellXfs count="836">
    <xf numFmtId="0" fontId="0" fillId="0" borderId="0" xfId="0"/>
    <xf numFmtId="164" fontId="0" fillId="0" borderId="31" xfId="1" applyFont="1" applyBorder="1" applyAlignment="1" applyProtection="1">
      <alignment vertical="center"/>
    </xf>
    <xf numFmtId="164" fontId="1" fillId="15" borderId="12" xfId="1" applyFont="1" applyFill="1" applyBorder="1" applyAlignment="1" applyProtection="1">
      <alignment vertical="center"/>
    </xf>
    <xf numFmtId="164" fontId="2" fillId="3" borderId="0" xfId="1" applyFont="1" applyFill="1" applyBorder="1" applyAlignment="1" applyProtection="1">
      <alignment vertical="center"/>
    </xf>
    <xf numFmtId="164" fontId="0" fillId="11" borderId="31" xfId="1" applyFont="1" applyFill="1" applyBorder="1" applyAlignment="1" applyProtection="1">
      <alignment vertical="center"/>
    </xf>
    <xf numFmtId="164" fontId="1" fillId="0" borderId="0" xfId="1" applyFont="1" applyBorder="1" applyAlignment="1" applyProtection="1">
      <alignment vertical="center"/>
    </xf>
    <xf numFmtId="164" fontId="0" fillId="0" borderId="0" xfId="1" applyFont="1" applyBorder="1" applyAlignment="1" applyProtection="1">
      <alignment vertical="center"/>
    </xf>
    <xf numFmtId="164" fontId="10" fillId="0" borderId="31" xfId="1" applyFont="1" applyBorder="1" applyAlignment="1" applyProtection="1">
      <alignment vertical="center"/>
    </xf>
    <xf numFmtId="164" fontId="2" fillId="0" borderId="0" xfId="1" applyFont="1" applyBorder="1" applyAlignment="1" applyProtection="1">
      <alignment vertical="center"/>
    </xf>
    <xf numFmtId="164" fontId="1" fillId="0" borderId="31" xfId="1" applyFont="1" applyBorder="1" applyAlignment="1" applyProtection="1">
      <alignment vertical="center"/>
    </xf>
    <xf numFmtId="164" fontId="1" fillId="14" borderId="4" xfId="1" applyFont="1" applyFill="1" applyBorder="1" applyAlignment="1" applyProtection="1">
      <alignment vertical="center"/>
    </xf>
    <xf numFmtId="164" fontId="56" fillId="0" borderId="31" xfId="1" applyFont="1" applyBorder="1" applyAlignment="1" applyProtection="1">
      <alignment vertical="center"/>
    </xf>
    <xf numFmtId="164" fontId="17" fillId="0" borderId="31" xfId="1" applyFont="1" applyBorder="1" applyAlignment="1" applyProtection="1">
      <alignment vertical="center"/>
    </xf>
    <xf numFmtId="164" fontId="0" fillId="4" borderId="0" xfId="1" applyFont="1" applyFill="1" applyBorder="1" applyAlignment="1" applyProtection="1">
      <alignment vertical="center"/>
    </xf>
    <xf numFmtId="164" fontId="19" fillId="0" borderId="0" xfId="1" applyFont="1" applyBorder="1" applyAlignment="1" applyProtection="1">
      <alignment vertical="center"/>
    </xf>
    <xf numFmtId="164" fontId="3" fillId="0" borderId="0" xfId="1" applyFont="1" applyBorder="1" applyAlignment="1" applyProtection="1">
      <alignment vertical="center"/>
      <protection locked="0"/>
    </xf>
    <xf numFmtId="0" fontId="32" fillId="0" borderId="10" xfId="0" applyFont="1" applyBorder="1" applyAlignment="1" applyProtection="1">
      <alignment vertical="center"/>
      <protection locked="0"/>
    </xf>
    <xf numFmtId="0" fontId="2" fillId="0" borderId="0" xfId="0" applyFont="1" applyAlignment="1" applyProtection="1">
      <alignment vertical="center"/>
      <protection locked="0"/>
    </xf>
    <xf numFmtId="164" fontId="1" fillId="20" borderId="0" xfId="1" applyFont="1" applyFill="1" applyBorder="1" applyAlignment="1" applyProtection="1">
      <alignment vertical="center"/>
    </xf>
    <xf numFmtId="164" fontId="3" fillId="0" borderId="0" xfId="1" applyFont="1" applyBorder="1" applyProtection="1">
      <protection locked="0"/>
    </xf>
    <xf numFmtId="164" fontId="1" fillId="23" borderId="14" xfId="1" applyFont="1" applyFill="1" applyBorder="1" applyAlignment="1" applyProtection="1">
      <alignment vertical="center"/>
    </xf>
    <xf numFmtId="164" fontId="58" fillId="25" borderId="31" xfId="1" applyFont="1" applyFill="1" applyBorder="1" applyAlignment="1" applyProtection="1">
      <alignment vertical="center"/>
    </xf>
    <xf numFmtId="164" fontId="2" fillId="11" borderId="0" xfId="1" applyFont="1" applyFill="1" applyBorder="1" applyAlignment="1" applyProtection="1">
      <alignment vertical="center"/>
    </xf>
    <xf numFmtId="164" fontId="1" fillId="13" borderId="0" xfId="1" applyFont="1" applyFill="1" applyBorder="1" applyAlignment="1" applyProtection="1">
      <alignment vertical="center"/>
    </xf>
    <xf numFmtId="164" fontId="80" fillId="15" borderId="31" xfId="1" applyFont="1" applyFill="1" applyBorder="1" applyAlignment="1" applyProtection="1">
      <alignment vertical="center"/>
    </xf>
    <xf numFmtId="164" fontId="1" fillId="26" borderId="0" xfId="1" applyFont="1" applyFill="1" applyBorder="1" applyAlignment="1" applyProtection="1">
      <alignment vertical="center"/>
    </xf>
    <xf numFmtId="164" fontId="34" fillId="13" borderId="0" xfId="1" applyFont="1" applyFill="1" applyBorder="1" applyAlignment="1" applyProtection="1">
      <alignment vertical="center"/>
    </xf>
    <xf numFmtId="164" fontId="34" fillId="13" borderId="31" xfId="1" applyFont="1" applyFill="1" applyBorder="1" applyAlignment="1" applyProtection="1">
      <alignment vertical="center"/>
    </xf>
    <xf numFmtId="0" fontId="34" fillId="18" borderId="14" xfId="0" applyFont="1" applyFill="1" applyBorder="1" applyAlignment="1" applyProtection="1">
      <alignment vertical="center"/>
      <protection hidden="1"/>
    </xf>
    <xf numFmtId="164" fontId="32" fillId="18" borderId="0" xfId="1" applyFill="1" applyBorder="1" applyProtection="1">
      <protection hidden="1"/>
    </xf>
    <xf numFmtId="0" fontId="0" fillId="18" borderId="11" xfId="0" applyFill="1" applyBorder="1" applyAlignment="1" applyProtection="1">
      <alignment vertical="center"/>
      <protection hidden="1"/>
    </xf>
    <xf numFmtId="164" fontId="58" fillId="18" borderId="0" xfId="1" applyFont="1" applyFill="1" applyBorder="1" applyProtection="1">
      <protection hidden="1"/>
    </xf>
    <xf numFmtId="164" fontId="34" fillId="18" borderId="14" xfId="1" applyFont="1" applyFill="1" applyBorder="1" applyProtection="1">
      <protection hidden="1"/>
    </xf>
    <xf numFmtId="164" fontId="32" fillId="18" borderId="15" xfId="1" applyFill="1" applyBorder="1" applyProtection="1">
      <protection hidden="1"/>
    </xf>
    <xf numFmtId="164" fontId="32" fillId="18" borderId="34" xfId="1" applyFill="1" applyBorder="1" applyProtection="1">
      <protection hidden="1"/>
    </xf>
    <xf numFmtId="164" fontId="32" fillId="18" borderId="37" xfId="1" applyFill="1" applyBorder="1" applyProtection="1">
      <protection hidden="1"/>
    </xf>
    <xf numFmtId="0" fontId="0" fillId="18" borderId="39" xfId="0" applyFill="1" applyBorder="1" applyAlignment="1" applyProtection="1">
      <alignment vertical="center"/>
      <protection hidden="1"/>
    </xf>
    <xf numFmtId="164" fontId="83" fillId="0" borderId="0" xfId="1" applyFont="1" applyBorder="1" applyAlignment="1" applyProtection="1">
      <alignment vertical="center"/>
      <protection hidden="1"/>
    </xf>
    <xf numFmtId="0" fontId="37" fillId="0" borderId="0" xfId="0" applyFont="1" applyAlignment="1" applyProtection="1">
      <alignment horizontal="center" vertical="center"/>
      <protection hidden="1"/>
    </xf>
    <xf numFmtId="2" fontId="37" fillId="0" borderId="0" xfId="0" applyNumberFormat="1" applyFont="1" applyAlignment="1" applyProtection="1">
      <alignment horizontal="center" vertical="center"/>
      <protection hidden="1"/>
    </xf>
    <xf numFmtId="164" fontId="37" fillId="0" borderId="0" xfId="0" applyNumberFormat="1" applyFont="1" applyAlignment="1" applyProtection="1">
      <alignment horizontal="center" vertical="center"/>
      <protection hidden="1"/>
    </xf>
    <xf numFmtId="164" fontId="43" fillId="0" borderId="9" xfId="1" applyFont="1" applyBorder="1" applyAlignment="1" applyProtection="1">
      <alignment vertical="center"/>
      <protection hidden="1"/>
    </xf>
    <xf numFmtId="164" fontId="12" fillId="0" borderId="0" xfId="1" applyFont="1" applyBorder="1" applyAlignment="1" applyProtection="1">
      <alignment vertical="center"/>
    </xf>
    <xf numFmtId="164" fontId="43" fillId="0" borderId="4" xfId="1" applyFont="1" applyBorder="1" applyAlignment="1" applyProtection="1">
      <alignment vertical="center"/>
      <protection locked="0" hidden="1"/>
    </xf>
    <xf numFmtId="164" fontId="1" fillId="14" borderId="49" xfId="1" applyFont="1" applyFill="1" applyBorder="1" applyAlignment="1" applyProtection="1">
      <alignment vertical="center"/>
    </xf>
    <xf numFmtId="164" fontId="2" fillId="4" borderId="50" xfId="1" applyFont="1" applyFill="1" applyBorder="1" applyAlignment="1" applyProtection="1">
      <alignment vertical="center"/>
    </xf>
    <xf numFmtId="164" fontId="57" fillId="0" borderId="31" xfId="1" applyFont="1" applyBorder="1" applyAlignment="1" applyProtection="1">
      <alignment vertical="center"/>
    </xf>
    <xf numFmtId="0" fontId="37" fillId="0" borderId="31" xfId="0" applyFont="1" applyBorder="1" applyAlignment="1" applyProtection="1">
      <alignment horizontal="center" vertical="center"/>
      <protection hidden="1"/>
    </xf>
    <xf numFmtId="0" fontId="89" fillId="18" borderId="35" xfId="0" applyFont="1" applyFill="1" applyBorder="1" applyAlignment="1" applyProtection="1">
      <alignment vertical="center"/>
      <protection hidden="1"/>
    </xf>
    <xf numFmtId="164" fontId="80" fillId="18" borderId="35" xfId="1" applyFont="1" applyFill="1" applyBorder="1" applyProtection="1">
      <protection hidden="1"/>
    </xf>
    <xf numFmtId="164" fontId="0" fillId="11" borderId="0" xfId="1" applyFont="1" applyFill="1" applyBorder="1" applyAlignment="1" applyProtection="1">
      <alignment vertical="center"/>
    </xf>
    <xf numFmtId="164" fontId="10" fillId="0" borderId="0" xfId="1" applyFont="1" applyBorder="1" applyAlignment="1" applyProtection="1">
      <alignment vertical="center"/>
    </xf>
    <xf numFmtId="164" fontId="11" fillId="0" borderId="0" xfId="1" applyFont="1" applyBorder="1" applyAlignment="1" applyProtection="1">
      <alignment vertical="center"/>
    </xf>
    <xf numFmtId="164" fontId="3" fillId="29" borderId="0" xfId="1" applyFont="1" applyFill="1" applyBorder="1" applyAlignment="1" applyProtection="1">
      <alignment vertical="center"/>
      <protection locked="0"/>
    </xf>
    <xf numFmtId="164" fontId="7" fillId="29" borderId="0" xfId="1" applyFont="1" applyFill="1" applyBorder="1" applyAlignment="1" applyProtection="1">
      <alignment vertical="center"/>
    </xf>
    <xf numFmtId="164" fontId="3" fillId="12" borderId="4" xfId="1" applyFont="1" applyFill="1" applyBorder="1" applyAlignment="1" applyProtection="1">
      <alignment vertical="center"/>
      <protection locked="0"/>
    </xf>
    <xf numFmtId="0" fontId="2" fillId="0" borderId="4" xfId="0" applyFont="1" applyBorder="1" applyAlignment="1" applyProtection="1">
      <alignment vertical="center"/>
      <protection locked="0"/>
    </xf>
    <xf numFmtId="164" fontId="3" fillId="0" borderId="4" xfId="1" applyFont="1" applyBorder="1" applyAlignment="1" applyProtection="1">
      <alignment vertical="center"/>
      <protection locked="0"/>
    </xf>
    <xf numFmtId="164" fontId="3" fillId="0" borderId="6" xfId="1" applyFont="1" applyBorder="1" applyAlignment="1" applyProtection="1">
      <alignment vertical="center"/>
      <protection locked="0"/>
    </xf>
    <xf numFmtId="0" fontId="32" fillId="0" borderId="0" xfId="0" applyFont="1" applyAlignment="1" applyProtection="1">
      <alignment horizontal="center" vertical="center"/>
      <protection locked="0"/>
    </xf>
    <xf numFmtId="0" fontId="65" fillId="12" borderId="4" xfId="0" applyFont="1" applyFill="1" applyBorder="1" applyAlignment="1" applyProtection="1">
      <alignment horizontal="center" vertical="center"/>
      <protection locked="0"/>
    </xf>
    <xf numFmtId="164" fontId="10" fillId="0" borderId="11" xfId="1" applyFont="1" applyBorder="1" applyAlignment="1" applyProtection="1">
      <alignment vertical="center"/>
    </xf>
    <xf numFmtId="0" fontId="2" fillId="0" borderId="4" xfId="0" applyFont="1" applyBorder="1" applyAlignment="1" applyProtection="1">
      <alignment horizontal="center" vertical="center"/>
      <protection locked="0"/>
    </xf>
    <xf numFmtId="164" fontId="3" fillId="12" borderId="3" xfId="1" applyFont="1" applyFill="1" applyBorder="1" applyAlignment="1" applyProtection="1">
      <alignment vertical="center"/>
      <protection locked="0"/>
    </xf>
    <xf numFmtId="164" fontId="11" fillId="0" borderId="11" xfId="1" applyFont="1" applyBorder="1" applyAlignment="1" applyProtection="1">
      <alignment vertical="center"/>
    </xf>
    <xf numFmtId="164" fontId="1" fillId="0" borderId="4" xfId="1" applyFont="1" applyBorder="1" applyAlignment="1" applyProtection="1">
      <alignment vertical="center"/>
    </xf>
    <xf numFmtId="164" fontId="3" fillId="0" borderId="0" xfId="1" applyFont="1" applyBorder="1" applyAlignment="1" applyProtection="1">
      <alignment vertical="center"/>
      <protection locked="0" hidden="1"/>
    </xf>
    <xf numFmtId="164" fontId="3" fillId="12" borderId="4" xfId="1" applyFont="1" applyFill="1" applyBorder="1" applyAlignment="1" applyProtection="1">
      <alignment vertical="center"/>
      <protection locked="0" hidden="1"/>
    </xf>
    <xf numFmtId="164" fontId="1" fillId="0" borderId="11" xfId="1" applyFont="1" applyBorder="1" applyAlignment="1" applyProtection="1">
      <alignment vertical="center"/>
    </xf>
    <xf numFmtId="164" fontId="47" fillId="12" borderId="4" xfId="1" applyFont="1" applyFill="1" applyBorder="1" applyAlignment="1" applyProtection="1">
      <alignment vertical="center"/>
      <protection locked="0"/>
    </xf>
    <xf numFmtId="164" fontId="43" fillId="0" borderId="4" xfId="1" applyFont="1" applyBorder="1" applyAlignment="1" applyProtection="1">
      <alignment vertical="center"/>
    </xf>
    <xf numFmtId="164" fontId="43" fillId="0" borderId="6" xfId="1" applyFont="1" applyBorder="1" applyAlignment="1" applyProtection="1">
      <alignment vertical="center"/>
    </xf>
    <xf numFmtId="164" fontId="43" fillId="29" borderId="0" xfId="1" applyFont="1" applyFill="1" applyBorder="1" applyAlignment="1" applyProtection="1">
      <alignment vertical="center"/>
    </xf>
    <xf numFmtId="164" fontId="0" fillId="31" borderId="31" xfId="1" applyFont="1" applyFill="1" applyBorder="1" applyAlignment="1" applyProtection="1">
      <alignment vertical="center"/>
    </xf>
    <xf numFmtId="164" fontId="0" fillId="31" borderId="0" xfId="1" applyFont="1" applyFill="1" applyBorder="1" applyAlignment="1" applyProtection="1">
      <alignment vertical="center"/>
    </xf>
    <xf numFmtId="164" fontId="0" fillId="0" borderId="11" xfId="1" applyFont="1" applyBorder="1" applyAlignment="1" applyProtection="1">
      <alignment vertical="center"/>
    </xf>
    <xf numFmtId="164" fontId="12" fillId="29" borderId="0" xfId="1" applyFont="1" applyFill="1" applyBorder="1" applyAlignment="1" applyProtection="1">
      <alignment vertical="center"/>
      <protection locked="0"/>
    </xf>
    <xf numFmtId="164" fontId="58" fillId="0" borderId="4" xfId="1" applyFont="1" applyBorder="1" applyAlignment="1" applyProtection="1">
      <alignment vertical="center"/>
    </xf>
    <xf numFmtId="164" fontId="58" fillId="0" borderId="6" xfId="1" applyFont="1" applyBorder="1" applyAlignment="1" applyProtection="1">
      <alignment vertical="center"/>
    </xf>
    <xf numFmtId="164" fontId="58" fillId="29" borderId="0" xfId="1" applyFont="1" applyFill="1" applyBorder="1" applyAlignment="1" applyProtection="1">
      <alignment vertical="center"/>
    </xf>
    <xf numFmtId="164" fontId="43" fillId="0" borderId="49" xfId="1" applyFont="1" applyBorder="1" applyAlignment="1" applyProtection="1">
      <alignment vertical="center"/>
    </xf>
    <xf numFmtId="164" fontId="49" fillId="0" borderId="4" xfId="1" applyFont="1" applyBorder="1" applyAlignment="1" applyProtection="1">
      <alignment vertical="center"/>
    </xf>
    <xf numFmtId="164" fontId="80" fillId="0" borderId="4" xfId="1" applyFont="1" applyBorder="1" applyAlignment="1" applyProtection="1">
      <alignment vertical="center"/>
    </xf>
    <xf numFmtId="164" fontId="12" fillId="0" borderId="31" xfId="1" applyFont="1" applyBorder="1" applyAlignment="1" applyProtection="1">
      <alignment vertical="center"/>
    </xf>
    <xf numFmtId="0" fontId="32" fillId="0" borderId="4" xfId="0" applyFont="1" applyBorder="1" applyAlignment="1" applyProtection="1">
      <alignment vertical="center"/>
      <protection locked="0"/>
    </xf>
    <xf numFmtId="164" fontId="12" fillId="0" borderId="11" xfId="1" applyFont="1" applyBorder="1" applyAlignment="1" applyProtection="1">
      <alignment vertical="center"/>
    </xf>
    <xf numFmtId="164" fontId="2" fillId="0" borderId="4" xfId="1" applyFont="1" applyBorder="1" applyAlignment="1" applyProtection="1">
      <alignment vertical="center"/>
      <protection locked="0"/>
    </xf>
    <xf numFmtId="164" fontId="3" fillId="34" borderId="4" xfId="1" applyFont="1" applyFill="1" applyBorder="1" applyAlignment="1" applyProtection="1">
      <alignment vertical="center"/>
      <protection locked="0"/>
    </xf>
    <xf numFmtId="164" fontId="43" fillId="0" borderId="31" xfId="1" applyFont="1" applyBorder="1" applyAlignment="1" applyProtection="1">
      <alignment vertical="center"/>
    </xf>
    <xf numFmtId="164" fontId="43" fillId="0" borderId="0" xfId="1" applyFont="1" applyBorder="1" applyAlignment="1" applyProtection="1">
      <alignment vertical="center"/>
    </xf>
    <xf numFmtId="164" fontId="12" fillId="0" borderId="0" xfId="1" applyFont="1" applyBorder="1" applyAlignment="1" applyProtection="1">
      <alignment vertical="center"/>
      <protection locked="0"/>
    </xf>
    <xf numFmtId="164" fontId="43" fillId="0" borderId="11" xfId="1" applyFont="1" applyBorder="1" applyAlignment="1" applyProtection="1">
      <alignment vertical="center"/>
    </xf>
    <xf numFmtId="164" fontId="0" fillId="32" borderId="31" xfId="1" applyFont="1" applyFill="1" applyBorder="1" applyAlignment="1" applyProtection="1">
      <alignment vertical="center"/>
    </xf>
    <xf numFmtId="164" fontId="0" fillId="32" borderId="0" xfId="1" applyFont="1" applyFill="1" applyBorder="1" applyAlignment="1" applyProtection="1">
      <alignment vertical="center"/>
    </xf>
    <xf numFmtId="164" fontId="12" fillId="32" borderId="0" xfId="1" applyFont="1" applyFill="1" applyBorder="1" applyAlignment="1" applyProtection="1">
      <alignment vertical="center"/>
      <protection locked="0"/>
    </xf>
    <xf numFmtId="164" fontId="12" fillId="32" borderId="31" xfId="1" applyFont="1" applyFill="1" applyBorder="1" applyAlignment="1" applyProtection="1">
      <alignment vertical="center"/>
    </xf>
    <xf numFmtId="164" fontId="12" fillId="32" borderId="0" xfId="1" applyFont="1" applyFill="1" applyBorder="1" applyAlignment="1" applyProtection="1">
      <alignment vertical="center"/>
    </xf>
    <xf numFmtId="164" fontId="12" fillId="0" borderId="4" xfId="1" applyFont="1" applyBorder="1" applyAlignment="1" applyProtection="1">
      <alignment vertical="center"/>
    </xf>
    <xf numFmtId="164" fontId="23" fillId="0" borderId="4" xfId="1" applyFont="1" applyBorder="1" applyAlignment="1" applyProtection="1">
      <alignment vertical="center"/>
    </xf>
    <xf numFmtId="164" fontId="58" fillId="35" borderId="4" xfId="1" applyFont="1" applyFill="1" applyBorder="1" applyAlignment="1" applyProtection="1">
      <alignment vertical="center"/>
    </xf>
    <xf numFmtId="164" fontId="12" fillId="35" borderId="4" xfId="1" applyFont="1" applyFill="1" applyBorder="1" applyAlignment="1" applyProtection="1">
      <alignment vertical="center"/>
    </xf>
    <xf numFmtId="164" fontId="23" fillId="35" borderId="4" xfId="1" applyFont="1" applyFill="1" applyBorder="1" applyAlignment="1" applyProtection="1">
      <alignment vertical="center"/>
    </xf>
    <xf numFmtId="164" fontId="49" fillId="35" borderId="4" xfId="1" applyFont="1" applyFill="1" applyBorder="1" applyAlignment="1" applyProtection="1">
      <alignment vertical="center"/>
    </xf>
    <xf numFmtId="164" fontId="80" fillId="35" borderId="4" xfId="1" applyFont="1" applyFill="1" applyBorder="1" applyAlignment="1" applyProtection="1">
      <alignment vertical="center"/>
    </xf>
    <xf numFmtId="164" fontId="12" fillId="29" borderId="0" xfId="1" applyFont="1" applyFill="1" applyBorder="1" applyAlignment="1" applyProtection="1">
      <alignment vertical="center"/>
    </xf>
    <xf numFmtId="164" fontId="12" fillId="29" borderId="31" xfId="1" applyFont="1" applyFill="1" applyBorder="1" applyAlignment="1" applyProtection="1">
      <alignment vertical="center"/>
    </xf>
    <xf numFmtId="164" fontId="43" fillId="29" borderId="31" xfId="1" applyFont="1" applyFill="1" applyBorder="1" applyAlignment="1" applyProtection="1">
      <alignment vertical="center"/>
    </xf>
    <xf numFmtId="164" fontId="58" fillId="0" borderId="11" xfId="1" applyFont="1" applyBorder="1" applyAlignment="1" applyProtection="1">
      <alignment vertical="center"/>
    </xf>
    <xf numFmtId="0" fontId="3" fillId="12" borderId="4" xfId="0" applyFont="1" applyFill="1" applyBorder="1" applyAlignment="1" applyProtection="1">
      <alignment horizontal="center" vertical="center"/>
      <protection locked="0"/>
    </xf>
    <xf numFmtId="0" fontId="43" fillId="0" borderId="4" xfId="0" applyFont="1" applyBorder="1" applyAlignment="1" applyProtection="1">
      <alignment horizontal="center" vertical="center"/>
      <protection locked="0"/>
    </xf>
    <xf numFmtId="2" fontId="85" fillId="12" borderId="4" xfId="0" applyNumberFormat="1" applyFont="1" applyFill="1" applyBorder="1" applyAlignment="1" applyProtection="1">
      <alignment horizontal="center" vertical="center"/>
      <protection locked="0"/>
    </xf>
    <xf numFmtId="2" fontId="85" fillId="0" borderId="4" xfId="0" applyNumberFormat="1" applyFont="1" applyBorder="1" applyAlignment="1" applyProtection="1">
      <alignment horizontal="center" vertical="center"/>
      <protection locked="0"/>
    </xf>
    <xf numFmtId="0" fontId="50" fillId="0" borderId="0" xfId="0" applyFont="1" applyAlignment="1" applyProtection="1">
      <alignment horizontal="center" vertical="center"/>
      <protection locked="0"/>
    </xf>
    <xf numFmtId="0" fontId="0" fillId="16" borderId="14" xfId="0" applyFill="1" applyBorder="1" applyAlignment="1" applyProtection="1">
      <alignment horizontal="center" vertical="center"/>
      <protection locked="0"/>
    </xf>
    <xf numFmtId="0" fontId="3" fillId="12" borderId="2" xfId="0" applyFont="1" applyFill="1" applyBorder="1" applyAlignment="1" applyProtection="1">
      <alignment horizontal="center"/>
      <protection locked="0"/>
    </xf>
    <xf numFmtId="0" fontId="3" fillId="12" borderId="4" xfId="0" applyFont="1" applyFill="1" applyBorder="1" applyAlignment="1" applyProtection="1">
      <alignment horizontal="center"/>
      <protection locked="0"/>
    </xf>
    <xf numFmtId="164" fontId="58" fillId="0" borderId="31" xfId="1" applyFont="1" applyBorder="1" applyAlignment="1" applyProtection="1">
      <alignment vertical="center"/>
    </xf>
    <xf numFmtId="164" fontId="58" fillId="0" borderId="0" xfId="1" applyFont="1" applyBorder="1" applyAlignment="1" applyProtection="1">
      <alignment vertical="center"/>
    </xf>
    <xf numFmtId="164" fontId="65" fillId="0" borderId="0" xfId="1" applyFont="1" applyBorder="1" applyAlignment="1" applyProtection="1">
      <alignment vertical="center"/>
      <protection locked="0"/>
    </xf>
    <xf numFmtId="164" fontId="65" fillId="12" borderId="14" xfId="1" applyFont="1" applyFill="1" applyBorder="1" applyAlignment="1" applyProtection="1">
      <alignment vertical="center"/>
      <protection locked="0"/>
    </xf>
    <xf numFmtId="164" fontId="65" fillId="12" borderId="12" xfId="1" applyFont="1" applyFill="1" applyBorder="1" applyAlignment="1" applyProtection="1">
      <alignment vertical="center"/>
      <protection locked="0"/>
    </xf>
    <xf numFmtId="164" fontId="57" fillId="0" borderId="0" xfId="1" applyFont="1" applyBorder="1" applyAlignment="1" applyProtection="1">
      <alignment vertical="center"/>
    </xf>
    <xf numFmtId="164" fontId="2" fillId="0" borderId="4" xfId="1" applyFont="1" applyBorder="1" applyAlignment="1" applyProtection="1">
      <alignment vertical="center"/>
      <protection locked="0" hidden="1"/>
    </xf>
    <xf numFmtId="164" fontId="2" fillId="0" borderId="4" xfId="1" applyFont="1" applyBorder="1" applyAlignment="1" applyProtection="1">
      <alignment vertical="center"/>
    </xf>
    <xf numFmtId="164" fontId="106" fillId="0" borderId="0" xfId="1" applyFont="1" applyBorder="1" applyAlignment="1" applyProtection="1">
      <alignment horizontal="center" vertical="center" wrapText="1"/>
    </xf>
    <xf numFmtId="164" fontId="43" fillId="0" borderId="0" xfId="1" applyFont="1" applyBorder="1" applyAlignment="1" applyProtection="1">
      <alignment vertical="center"/>
      <protection locked="0" hidden="1"/>
    </xf>
    <xf numFmtId="164" fontId="12" fillId="38" borderId="0" xfId="1" applyFont="1" applyFill="1" applyBorder="1" applyAlignment="1" applyProtection="1">
      <alignment vertical="center"/>
      <protection locked="0"/>
    </xf>
    <xf numFmtId="164" fontId="12" fillId="38" borderId="0" xfId="1" applyFont="1" applyFill="1" applyBorder="1" applyAlignment="1" applyProtection="1">
      <alignment vertical="center"/>
      <protection locked="0" hidden="1"/>
    </xf>
    <xf numFmtId="164" fontId="3" fillId="39" borderId="0" xfId="1" applyFont="1" applyFill="1" applyBorder="1" applyAlignment="1" applyProtection="1">
      <alignment vertical="center"/>
      <protection locked="0"/>
    </xf>
    <xf numFmtId="164" fontId="3" fillId="39" borderId="0" xfId="1" applyFont="1" applyFill="1" applyBorder="1" applyAlignment="1" applyProtection="1">
      <alignment vertical="center"/>
      <protection locked="0" hidden="1"/>
    </xf>
    <xf numFmtId="164" fontId="0" fillId="39" borderId="31" xfId="1" applyFont="1" applyFill="1" applyBorder="1" applyAlignment="1" applyProtection="1">
      <alignment vertical="center"/>
    </xf>
    <xf numFmtId="164" fontId="0" fillId="39" borderId="0" xfId="1" applyFont="1" applyFill="1" applyBorder="1" applyAlignment="1" applyProtection="1">
      <alignment vertical="center"/>
    </xf>
    <xf numFmtId="164" fontId="2" fillId="41" borderId="4" xfId="1" applyFont="1" applyFill="1" applyBorder="1" applyAlignment="1" applyProtection="1">
      <alignment vertical="center"/>
      <protection locked="0"/>
    </xf>
    <xf numFmtId="164" fontId="30" fillId="12" borderId="4" xfId="1" applyFont="1" applyFill="1" applyBorder="1" applyProtection="1">
      <protection locked="0"/>
    </xf>
    <xf numFmtId="164" fontId="72" fillId="0" borderId="4" xfId="1" applyFont="1" applyBorder="1" applyProtection="1"/>
    <xf numFmtId="14" fontId="65" fillId="0" borderId="0" xfId="0" applyNumberFormat="1" applyFont="1" applyAlignment="1" applyProtection="1">
      <alignment horizontal="center" vertical="center"/>
      <protection locked="0"/>
    </xf>
    <xf numFmtId="0" fontId="61" fillId="12" borderId="0" xfId="0" applyFont="1" applyFill="1" applyAlignment="1" applyProtection="1">
      <alignment horizontal="center"/>
      <protection locked="0"/>
    </xf>
    <xf numFmtId="0" fontId="0" fillId="0" borderId="0" xfId="0" applyProtection="1">
      <protection locked="0"/>
    </xf>
    <xf numFmtId="0" fontId="47" fillId="12" borderId="0" xfId="0" applyFont="1" applyFill="1" applyAlignment="1" applyProtection="1">
      <alignment horizontal="center"/>
      <protection locked="0"/>
    </xf>
    <xf numFmtId="0" fontId="40" fillId="0" borderId="0" xfId="0" applyFont="1"/>
    <xf numFmtId="0" fontId="2" fillId="0" borderId="4" xfId="0" applyFont="1" applyBorder="1" applyProtection="1">
      <protection locked="0"/>
    </xf>
    <xf numFmtId="0" fontId="2" fillId="0" borderId="0" xfId="0" applyFont="1" applyProtection="1">
      <protection locked="0"/>
    </xf>
    <xf numFmtId="164" fontId="32" fillId="0" borderId="0" xfId="1" applyProtection="1">
      <protection locked="0"/>
    </xf>
    <xf numFmtId="0" fontId="0" fillId="0" borderId="0" xfId="0" applyAlignment="1" applyProtection="1">
      <alignment vertical="center"/>
      <protection locked="0"/>
    </xf>
    <xf numFmtId="164" fontId="2" fillId="0" borderId="0" xfId="1" applyFont="1" applyBorder="1" applyProtection="1">
      <protection locked="0"/>
    </xf>
    <xf numFmtId="0" fontId="1" fillId="6" borderId="56" xfId="0" applyFont="1" applyFill="1" applyBorder="1" applyAlignment="1">
      <alignment horizontal="center" vertical="center"/>
    </xf>
    <xf numFmtId="0" fontId="1" fillId="6" borderId="57" xfId="0" applyFont="1" applyFill="1" applyBorder="1" applyAlignment="1">
      <alignment horizontal="center" vertical="center"/>
    </xf>
    <xf numFmtId="0" fontId="1" fillId="6" borderId="58" xfId="0" applyFont="1" applyFill="1" applyBorder="1" applyAlignment="1">
      <alignment horizontal="center" vertical="center"/>
    </xf>
    <xf numFmtId="0" fontId="34" fillId="6" borderId="40" xfId="0" applyFont="1" applyFill="1" applyBorder="1" applyAlignment="1">
      <alignment horizontal="center" vertical="center"/>
    </xf>
    <xf numFmtId="0" fontId="1" fillId="6" borderId="41" xfId="0" applyFont="1" applyFill="1" applyBorder="1" applyAlignment="1">
      <alignment horizontal="center" vertical="center"/>
    </xf>
    <xf numFmtId="0" fontId="1" fillId="6" borderId="42" xfId="0" applyFont="1" applyFill="1" applyBorder="1" applyAlignment="1">
      <alignment horizontal="center" vertical="center"/>
    </xf>
    <xf numFmtId="0" fontId="2" fillId="0" borderId="2" xfId="0" applyFont="1" applyBorder="1"/>
    <xf numFmtId="0" fontId="2" fillId="0" borderId="4" xfId="0" applyFont="1" applyBorder="1"/>
    <xf numFmtId="0" fontId="32" fillId="0" borderId="4" xfId="0" applyFont="1" applyBorder="1"/>
    <xf numFmtId="0" fontId="52" fillId="0" borderId="0" xfId="0" applyFont="1" applyAlignment="1" applyProtection="1">
      <alignment horizontal="center"/>
      <protection hidden="1"/>
    </xf>
    <xf numFmtId="0" fontId="0" fillId="0" borderId="0" xfId="0" applyProtection="1">
      <protection hidden="1"/>
    </xf>
    <xf numFmtId="0" fontId="43" fillId="0" borderId="0" xfId="0" applyFont="1" applyAlignment="1" applyProtection="1">
      <alignment vertical="center"/>
      <protection locked="0"/>
    </xf>
    <xf numFmtId="0" fontId="59" fillId="0" borderId="0" xfId="0" applyFont="1" applyAlignment="1" applyProtection="1">
      <alignment horizontal="center" vertical="center"/>
      <protection locked="0"/>
    </xf>
    <xf numFmtId="0" fontId="68"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3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40" fillId="0" borderId="0" xfId="0" applyFont="1" applyAlignment="1" applyProtection="1">
      <alignment horizontal="center" vertical="center"/>
      <protection locked="0"/>
    </xf>
    <xf numFmtId="0" fontId="48" fillId="36" borderId="0" xfId="0" applyFont="1" applyFill="1" applyAlignment="1" applyProtection="1">
      <alignment vertical="center"/>
      <protection locked="0"/>
    </xf>
    <xf numFmtId="0" fontId="2" fillId="36" borderId="0" xfId="0" applyFont="1" applyFill="1" applyAlignment="1" applyProtection="1">
      <alignment vertical="center"/>
      <protection locked="0"/>
    </xf>
    <xf numFmtId="164" fontId="7" fillId="0" borderId="0" xfId="1" applyFont="1" applyBorder="1" applyAlignment="1" applyProtection="1">
      <alignment vertical="center"/>
      <protection locked="0"/>
    </xf>
    <xf numFmtId="2" fontId="2" fillId="0" borderId="0" xfId="0" applyNumberFormat="1" applyFont="1" applyAlignment="1" applyProtection="1">
      <alignment vertical="center"/>
      <protection locked="0"/>
    </xf>
    <xf numFmtId="0" fontId="116" fillId="12" borderId="4" xfId="0" applyFont="1" applyFill="1" applyBorder="1" applyAlignment="1" applyProtection="1">
      <alignment horizontal="center" vertical="center"/>
      <protection locked="0"/>
    </xf>
    <xf numFmtId="0" fontId="34" fillId="0" borderId="4" xfId="0" applyFont="1" applyBorder="1" applyAlignment="1" applyProtection="1">
      <alignment vertical="center"/>
      <protection locked="0"/>
    </xf>
    <xf numFmtId="164" fontId="34" fillId="0" borderId="4" xfId="1" applyFont="1" applyBorder="1" applyProtection="1">
      <protection locked="0"/>
    </xf>
    <xf numFmtId="0" fontId="98" fillId="0" borderId="0" xfId="0" applyFont="1" applyAlignment="1" applyProtection="1">
      <alignment vertical="center"/>
      <protection locked="0"/>
    </xf>
    <xf numFmtId="164" fontId="34" fillId="0" borderId="0" xfId="1" applyFont="1" applyBorder="1" applyProtection="1">
      <protection locked="0"/>
    </xf>
    <xf numFmtId="0" fontId="39" fillId="0" borderId="0" xfId="0" applyFont="1" applyAlignment="1" applyProtection="1">
      <alignment vertical="center"/>
      <protection locked="0"/>
    </xf>
    <xf numFmtId="0" fontId="2" fillId="3" borderId="10" xfId="0" applyFont="1" applyFill="1" applyBorder="1" applyAlignment="1" applyProtection="1">
      <alignment vertical="center"/>
      <protection locked="0"/>
    </xf>
    <xf numFmtId="0" fontId="2" fillId="3" borderId="0" xfId="0" applyFont="1" applyFill="1" applyAlignment="1" applyProtection="1">
      <alignment horizontal="center" vertical="center"/>
      <protection locked="0"/>
    </xf>
    <xf numFmtId="164" fontId="2" fillId="3" borderId="0" xfId="1" applyFont="1" applyFill="1" applyBorder="1" applyAlignment="1" applyProtection="1">
      <alignment vertical="center"/>
      <protection locked="0"/>
    </xf>
    <xf numFmtId="0" fontId="52" fillId="0" borderId="0" xfId="0" applyFont="1" applyAlignment="1" applyProtection="1">
      <alignment vertical="center"/>
      <protection locked="0"/>
    </xf>
    <xf numFmtId="0" fontId="1" fillId="0" borderId="4" xfId="0" applyFont="1" applyBorder="1" applyAlignment="1" applyProtection="1">
      <alignment horizontal="center" vertical="center"/>
      <protection locked="0"/>
    </xf>
    <xf numFmtId="0" fontId="1" fillId="0" borderId="11" xfId="0" applyFont="1" applyBorder="1" applyAlignment="1" applyProtection="1">
      <alignment vertical="center"/>
      <protection locked="0"/>
    </xf>
    <xf numFmtId="164" fontId="0" fillId="0" borderId="0" xfId="1" applyFont="1" applyBorder="1" applyAlignment="1" applyProtection="1">
      <alignment vertical="center"/>
      <protection locked="0"/>
    </xf>
    <xf numFmtId="0" fontId="7" fillId="37" borderId="48" xfId="0" applyFont="1" applyFill="1" applyBorder="1" applyAlignment="1" applyProtection="1">
      <alignment vertical="center"/>
      <protection locked="0"/>
    </xf>
    <xf numFmtId="0" fontId="7" fillId="37" borderId="55" xfId="0" applyFont="1" applyFill="1" applyBorder="1" applyAlignment="1" applyProtection="1">
      <alignment vertical="center"/>
      <protection locked="0"/>
    </xf>
    <xf numFmtId="164" fontId="104" fillId="12" borderId="4" xfId="1" applyFont="1" applyFill="1" applyBorder="1" applyAlignment="1" applyProtection="1">
      <alignment vertical="center"/>
      <protection locked="0"/>
    </xf>
    <xf numFmtId="0" fontId="5" fillId="0" borderId="4" xfId="0" applyFont="1" applyBorder="1" applyAlignment="1" applyProtection="1">
      <alignment horizontal="center" vertical="center"/>
      <protection locked="0"/>
    </xf>
    <xf numFmtId="0" fontId="3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164" fontId="49" fillId="0" borderId="0" xfId="1" applyFont="1" applyBorder="1" applyAlignment="1" applyProtection="1">
      <alignment vertical="center"/>
      <protection locked="0" hidden="1"/>
    </xf>
    <xf numFmtId="0" fontId="43" fillId="0" borderId="4" xfId="0" applyFont="1" applyBorder="1" applyAlignment="1" applyProtection="1">
      <alignment vertical="center"/>
      <protection locked="0"/>
    </xf>
    <xf numFmtId="0" fontId="2" fillId="40" borderId="10" xfId="0" applyFont="1" applyFill="1" applyBorder="1" applyAlignment="1" applyProtection="1">
      <alignment vertical="center"/>
      <protection locked="0"/>
    </xf>
    <xf numFmtId="0" fontId="2" fillId="40" borderId="0" xfId="0" applyFont="1" applyFill="1" applyAlignment="1" applyProtection="1">
      <alignment horizontal="center" vertical="center"/>
      <protection locked="0"/>
    </xf>
    <xf numFmtId="164" fontId="2" fillId="40" borderId="0" xfId="1" applyFont="1" applyFill="1" applyBorder="1" applyAlignment="1" applyProtection="1">
      <alignment vertical="center"/>
      <protection locked="0"/>
    </xf>
    <xf numFmtId="164" fontId="2" fillId="40" borderId="0" xfId="1" applyFont="1" applyFill="1" applyBorder="1" applyAlignment="1" applyProtection="1">
      <alignment horizontal="center" vertical="center"/>
      <protection locked="0"/>
    </xf>
    <xf numFmtId="0" fontId="1" fillId="19" borderId="0" xfId="0" applyFont="1" applyFill="1" applyAlignment="1" applyProtection="1">
      <alignment vertical="center"/>
      <protection locked="0"/>
    </xf>
    <xf numFmtId="0" fontId="1" fillId="19" borderId="11" xfId="0" applyFont="1" applyFill="1" applyBorder="1" applyAlignment="1" applyProtection="1">
      <alignment vertical="center"/>
      <protection locked="0"/>
    </xf>
    <xf numFmtId="0" fontId="47"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0" xfId="0" applyFont="1" applyBorder="1" applyAlignment="1" applyProtection="1">
      <alignment vertical="center"/>
      <protection locked="0"/>
    </xf>
    <xf numFmtId="2" fontId="45" fillId="0" borderId="0" xfId="0" applyNumberFormat="1" applyFont="1" applyAlignment="1" applyProtection="1">
      <alignment vertical="center"/>
      <protection locked="0"/>
    </xf>
    <xf numFmtId="164" fontId="113" fillId="12" borderId="0" xfId="1" applyFont="1" applyFill="1" applyProtection="1">
      <protection locked="0"/>
    </xf>
    <xf numFmtId="0" fontId="12" fillId="0" borderId="0" xfId="0" applyFont="1" applyAlignment="1" applyProtection="1">
      <alignment horizontal="center" vertical="center"/>
      <protection locked="0"/>
    </xf>
    <xf numFmtId="2" fontId="72" fillId="0" borderId="0" xfId="0" applyNumberFormat="1" applyFont="1" applyAlignment="1" applyProtection="1">
      <alignment horizontal="center" vertical="center"/>
      <protection locked="0"/>
    </xf>
    <xf numFmtId="164" fontId="113" fillId="12" borderId="0" xfId="0" applyNumberFormat="1" applyFont="1" applyFill="1" applyAlignment="1" applyProtection="1">
      <alignment vertical="center"/>
      <protection locked="0"/>
    </xf>
    <xf numFmtId="0" fontId="1" fillId="14" borderId="3" xfId="0" applyFont="1" applyFill="1" applyBorder="1" applyAlignment="1" applyProtection="1">
      <alignment horizontal="center" vertical="center"/>
      <protection locked="0"/>
    </xf>
    <xf numFmtId="0" fontId="2" fillId="14" borderId="4" xfId="0" applyFont="1" applyFill="1" applyBorder="1" applyAlignment="1" applyProtection="1">
      <alignment horizontal="center" vertical="center"/>
      <protection locked="0"/>
    </xf>
    <xf numFmtId="0" fontId="2" fillId="19" borderId="48" xfId="0" applyFont="1" applyFill="1" applyBorder="1" applyAlignment="1" applyProtection="1">
      <alignment vertical="center"/>
      <protection locked="0"/>
    </xf>
    <xf numFmtId="0" fontId="2" fillId="19" borderId="55" xfId="0" applyFont="1" applyFill="1" applyBorder="1" applyAlignment="1" applyProtection="1">
      <alignment vertical="center"/>
      <protection locked="0"/>
    </xf>
    <xf numFmtId="2" fontId="72" fillId="0" borderId="4" xfId="0" applyNumberFormat="1" applyFont="1" applyBorder="1" applyAlignment="1" applyProtection="1">
      <alignment horizontal="center" vertical="center"/>
      <protection locked="0"/>
    </xf>
    <xf numFmtId="0" fontId="12" fillId="38" borderId="10" xfId="0" applyFont="1" applyFill="1" applyBorder="1" applyAlignment="1" applyProtection="1">
      <alignment vertical="center"/>
      <protection locked="0"/>
    </xf>
    <xf numFmtId="0" fontId="12" fillId="38" borderId="0" xfId="0" applyFont="1" applyFill="1" applyAlignment="1" applyProtection="1">
      <alignment horizontal="center" vertical="center"/>
      <protection locked="0"/>
    </xf>
    <xf numFmtId="2" fontId="31" fillId="38" borderId="0" xfId="0" applyNumberFormat="1" applyFont="1" applyFill="1" applyAlignment="1" applyProtection="1">
      <alignment horizontal="center" vertical="center"/>
      <protection locked="0"/>
    </xf>
    <xf numFmtId="2" fontId="12" fillId="38" borderId="0" xfId="0" applyNumberFormat="1" applyFont="1" applyFill="1" applyAlignment="1" applyProtection="1">
      <alignment vertical="center"/>
      <protection locked="0"/>
    </xf>
    <xf numFmtId="0" fontId="12" fillId="38" borderId="0" xfId="0" applyFont="1" applyFill="1" applyAlignment="1" applyProtection="1">
      <alignment vertical="center"/>
      <protection locked="0"/>
    </xf>
    <xf numFmtId="0" fontId="2" fillId="39" borderId="10" xfId="0" applyFont="1" applyFill="1" applyBorder="1" applyAlignment="1" applyProtection="1">
      <alignment vertical="center"/>
      <protection locked="0"/>
    </xf>
    <xf numFmtId="0" fontId="2" fillId="39" borderId="0" xfId="0" applyFont="1" applyFill="1" applyAlignment="1" applyProtection="1">
      <alignment horizontal="center" vertical="center"/>
      <protection locked="0"/>
    </xf>
    <xf numFmtId="2" fontId="72" fillId="39" borderId="0" xfId="0" applyNumberFormat="1" applyFont="1" applyFill="1" applyAlignment="1" applyProtection="1">
      <alignment horizontal="center" vertical="center"/>
      <protection locked="0"/>
    </xf>
    <xf numFmtId="0" fontId="2" fillId="30" borderId="10" xfId="0" applyFont="1" applyFill="1" applyBorder="1" applyAlignment="1" applyProtection="1">
      <alignment vertical="center"/>
      <protection locked="0"/>
    </xf>
    <xf numFmtId="0" fontId="2" fillId="30" borderId="0" xfId="0" applyFont="1" applyFill="1" applyAlignment="1" applyProtection="1">
      <alignment horizontal="center" vertical="center"/>
      <protection locked="0"/>
    </xf>
    <xf numFmtId="164" fontId="2" fillId="30" borderId="0" xfId="1" applyFont="1" applyFill="1" applyBorder="1" applyAlignment="1" applyProtection="1">
      <alignment vertical="center"/>
      <protection locked="0"/>
    </xf>
    <xf numFmtId="164" fontId="2" fillId="30" borderId="0" xfId="1" applyFont="1" applyFill="1" applyBorder="1" applyAlignment="1" applyProtection="1">
      <alignment horizontal="center" vertical="center"/>
      <protection locked="0"/>
    </xf>
    <xf numFmtId="0" fontId="94" fillId="0" borderId="10" xfId="0" applyFont="1" applyBorder="1" applyAlignment="1" applyProtection="1">
      <alignment vertical="center"/>
      <protection locked="0"/>
    </xf>
    <xf numFmtId="0" fontId="94" fillId="0" borderId="0" xfId="0" applyFont="1" applyAlignment="1" applyProtection="1">
      <alignment horizontal="center" vertical="center"/>
      <protection locked="0"/>
    </xf>
    <xf numFmtId="0" fontId="94" fillId="0" borderId="0" xfId="0" applyFont="1" applyAlignment="1" applyProtection="1">
      <alignment vertical="center"/>
      <protection locked="0"/>
    </xf>
    <xf numFmtId="164" fontId="52" fillId="0" borderId="0" xfId="0" applyNumberFormat="1" applyFont="1" applyAlignment="1" applyProtection="1">
      <alignment vertical="center"/>
      <protection locked="0"/>
    </xf>
    <xf numFmtId="164" fontId="110" fillId="0" borderId="0" xfId="0" applyNumberFormat="1" applyFont="1" applyAlignment="1" applyProtection="1">
      <alignment vertical="center"/>
      <protection locked="0"/>
    </xf>
    <xf numFmtId="164" fontId="2" fillId="0" borderId="0" xfId="1" applyFont="1" applyBorder="1" applyAlignment="1" applyProtection="1">
      <alignment vertical="center"/>
      <protection locked="0"/>
    </xf>
    <xf numFmtId="0" fontId="2" fillId="32" borderId="10" xfId="0" applyFont="1" applyFill="1" applyBorder="1" applyAlignment="1" applyProtection="1">
      <alignment vertical="center"/>
      <protection locked="0"/>
    </xf>
    <xf numFmtId="0" fontId="2" fillId="32" borderId="0" xfId="0" applyFont="1" applyFill="1" applyAlignment="1" applyProtection="1">
      <alignment horizontal="center" vertical="center"/>
      <protection locked="0"/>
    </xf>
    <xf numFmtId="164" fontId="2" fillId="32" borderId="0" xfId="1" applyFont="1" applyFill="1" applyBorder="1" applyAlignment="1" applyProtection="1">
      <alignment vertical="center"/>
      <protection locked="0"/>
    </xf>
    <xf numFmtId="0" fontId="12" fillId="29" borderId="0" xfId="0" applyFont="1" applyFill="1" applyAlignment="1" applyProtection="1">
      <alignment horizontal="center" vertical="center"/>
      <protection locked="0"/>
    </xf>
    <xf numFmtId="0" fontId="12" fillId="0" borderId="0" xfId="0" applyFont="1" applyAlignment="1" applyProtection="1">
      <alignment vertical="center"/>
      <protection locked="0"/>
    </xf>
    <xf numFmtId="0" fontId="109" fillId="0" borderId="0" xfId="0" applyFont="1" applyAlignment="1" applyProtection="1">
      <alignment vertical="center"/>
      <protection locked="0"/>
    </xf>
    <xf numFmtId="164" fontId="99" fillId="0" borderId="0" xfId="1" applyFont="1" applyBorder="1" applyAlignment="1" applyProtection="1">
      <alignment vertical="center"/>
      <protection locked="0"/>
    </xf>
    <xf numFmtId="0" fontId="13" fillId="23" borderId="4" xfId="0" applyFont="1" applyFill="1" applyBorder="1" applyAlignment="1" applyProtection="1">
      <alignment horizontal="center" vertical="center"/>
      <protection locked="0"/>
    </xf>
    <xf numFmtId="0" fontId="1" fillId="23" borderId="4" xfId="0" applyFont="1" applyFill="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2" fontId="32" fillId="0" borderId="4" xfId="0" applyNumberFormat="1" applyFont="1" applyBorder="1" applyAlignment="1" applyProtection="1">
      <alignment horizontal="center" vertical="center"/>
      <protection locked="0"/>
    </xf>
    <xf numFmtId="164" fontId="0" fillId="0" borderId="0" xfId="0" applyNumberFormat="1" applyAlignment="1" applyProtection="1">
      <alignment vertical="center"/>
      <protection locked="0"/>
    </xf>
    <xf numFmtId="0" fontId="32" fillId="0" borderId="0" xfId="0" applyFont="1" applyAlignment="1" applyProtection="1">
      <alignment vertical="center"/>
      <protection locked="0"/>
    </xf>
    <xf numFmtId="0" fontId="14" fillId="0" borderId="4" xfId="0" applyFont="1" applyBorder="1" applyAlignment="1" applyProtection="1">
      <alignment horizontal="center" vertical="center"/>
      <protection locked="0"/>
    </xf>
    <xf numFmtId="0" fontId="43" fillId="0" borderId="10" xfId="0" applyFont="1" applyBorder="1" applyAlignment="1" applyProtection="1">
      <alignment vertical="center"/>
      <protection locked="0"/>
    </xf>
    <xf numFmtId="0" fontId="43" fillId="0" borderId="0" xfId="0" applyFont="1" applyAlignment="1" applyProtection="1">
      <alignment horizontal="center" vertical="center"/>
      <protection locked="0"/>
    </xf>
    <xf numFmtId="0" fontId="43" fillId="29" borderId="0" xfId="0" applyFont="1" applyFill="1" applyAlignment="1" applyProtection="1">
      <alignment horizontal="center" vertical="center"/>
      <protection locked="0"/>
    </xf>
    <xf numFmtId="164" fontId="43" fillId="29" borderId="0" xfId="1" applyFont="1" applyFill="1" applyBorder="1" applyAlignment="1" applyProtection="1">
      <alignment vertical="center"/>
      <protection locked="0" hidden="1"/>
    </xf>
    <xf numFmtId="0" fontId="43" fillId="27" borderId="4" xfId="0" applyFont="1" applyFill="1" applyBorder="1" applyAlignment="1" applyProtection="1">
      <alignment horizontal="center" vertical="center"/>
      <protection locked="0"/>
    </xf>
    <xf numFmtId="0" fontId="12" fillId="32" borderId="0" xfId="0" applyFont="1" applyFill="1" applyAlignment="1" applyProtection="1">
      <alignment vertical="center"/>
      <protection locked="0"/>
    </xf>
    <xf numFmtId="0" fontId="12" fillId="32" borderId="0" xfId="0" applyFont="1" applyFill="1" applyAlignment="1" applyProtection="1">
      <alignment horizontal="center" vertical="center"/>
      <protection locked="0"/>
    </xf>
    <xf numFmtId="164" fontId="52" fillId="0" borderId="0" xfId="1" applyFont="1" applyAlignment="1" applyProtection="1">
      <alignment vertical="center"/>
      <protection locked="0"/>
    </xf>
    <xf numFmtId="164" fontId="110" fillId="0" borderId="0" xfId="1" applyFont="1" applyAlignment="1" applyProtection="1">
      <alignment vertical="center"/>
      <protection locked="0"/>
    </xf>
    <xf numFmtId="164" fontId="111" fillId="0" borderId="0" xfId="1" applyFont="1" applyAlignment="1" applyProtection="1">
      <alignment vertical="center"/>
      <protection locked="0"/>
    </xf>
    <xf numFmtId="164" fontId="63" fillId="0" borderId="0" xfId="1" applyFont="1" applyBorder="1" applyAlignment="1" applyProtection="1">
      <alignment vertical="center"/>
      <protection locked="0"/>
    </xf>
    <xf numFmtId="0" fontId="34" fillId="0" borderId="10" xfId="0" applyFont="1" applyBorder="1" applyAlignment="1" applyProtection="1">
      <alignment vertical="center"/>
      <protection locked="0"/>
    </xf>
    <xf numFmtId="164" fontId="1" fillId="0" borderId="0" xfId="1" applyFont="1" applyBorder="1" applyAlignment="1" applyProtection="1">
      <alignment vertical="center"/>
      <protection locked="0" hidden="1"/>
    </xf>
    <xf numFmtId="164" fontId="2" fillId="0" borderId="0" xfId="1" applyFont="1" applyBorder="1" applyAlignment="1" applyProtection="1">
      <alignment vertical="center"/>
      <protection locked="0" hidden="1"/>
    </xf>
    <xf numFmtId="0" fontId="1" fillId="11" borderId="10" xfId="0" applyFont="1" applyFill="1" applyBorder="1" applyAlignment="1" applyProtection="1">
      <alignment vertical="center"/>
      <protection locked="0"/>
    </xf>
    <xf numFmtId="0" fontId="1" fillId="11" borderId="0" xfId="0" applyFont="1" applyFill="1" applyAlignment="1" applyProtection="1">
      <alignment horizontal="center" vertical="center"/>
      <protection locked="0"/>
    </xf>
    <xf numFmtId="0" fontId="2" fillId="11" borderId="0" xfId="0" applyFont="1" applyFill="1" applyAlignment="1" applyProtection="1">
      <alignment horizontal="center" vertical="center"/>
      <protection locked="0"/>
    </xf>
    <xf numFmtId="164" fontId="1" fillId="11" borderId="0" xfId="1" applyFont="1" applyFill="1" applyBorder="1" applyAlignment="1" applyProtection="1">
      <alignment vertical="center"/>
      <protection locked="0"/>
    </xf>
    <xf numFmtId="164" fontId="114" fillId="0" borderId="0" xfId="0" applyNumberFormat="1" applyFont="1" applyAlignment="1" applyProtection="1">
      <alignment vertical="center"/>
      <protection locked="0"/>
    </xf>
    <xf numFmtId="0" fontId="1" fillId="13" borderId="13" xfId="0" applyFont="1" applyFill="1" applyBorder="1" applyAlignment="1" applyProtection="1">
      <alignment vertical="center"/>
      <protection locked="0"/>
    </xf>
    <xf numFmtId="0" fontId="1" fillId="13" borderId="14" xfId="0" applyFont="1" applyFill="1" applyBorder="1" applyAlignment="1" applyProtection="1">
      <alignment horizontal="center" vertical="center"/>
      <protection locked="0"/>
    </xf>
    <xf numFmtId="0" fontId="2" fillId="13" borderId="14" xfId="0" applyFont="1" applyFill="1" applyBorder="1" applyAlignment="1" applyProtection="1">
      <alignment horizontal="center" vertical="center"/>
      <protection locked="0"/>
    </xf>
    <xf numFmtId="164" fontId="1" fillId="13" borderId="14" xfId="1" applyFont="1" applyFill="1" applyBorder="1" applyAlignment="1" applyProtection="1">
      <alignment vertical="center"/>
      <protection locked="0"/>
    </xf>
    <xf numFmtId="0" fontId="87" fillId="0" borderId="0" xfId="0" applyFont="1" applyAlignment="1" applyProtection="1">
      <alignment horizontal="center" vertical="center"/>
      <protection locked="0" hidden="1"/>
    </xf>
    <xf numFmtId="164" fontId="86" fillId="0" borderId="0" xfId="0" applyNumberFormat="1" applyFont="1" applyAlignment="1" applyProtection="1">
      <alignment vertical="center"/>
      <protection locked="0" hidden="1"/>
    </xf>
    <xf numFmtId="164" fontId="111" fillId="0" borderId="0" xfId="0" applyNumberFormat="1" applyFont="1" applyAlignment="1" applyProtection="1">
      <alignment vertical="center"/>
      <protection locked="0"/>
    </xf>
    <xf numFmtId="9" fontId="112" fillId="0" borderId="0" xfId="2" applyFont="1" applyAlignment="1" applyProtection="1">
      <alignment vertical="center"/>
      <protection locked="0"/>
    </xf>
    <xf numFmtId="0" fontId="40" fillId="0" borderId="0" xfId="0" applyFont="1" applyAlignment="1" applyProtection="1">
      <alignment vertical="center"/>
      <protection locked="0"/>
    </xf>
    <xf numFmtId="0" fontId="5" fillId="0" borderId="4" xfId="0" applyFont="1" applyBorder="1" applyAlignment="1" applyProtection="1">
      <alignment vertical="center"/>
      <protection locked="0"/>
    </xf>
    <xf numFmtId="0" fontId="64" fillId="0" borderId="0" xfId="0" applyFont="1" applyAlignment="1" applyProtection="1">
      <alignment vertical="center"/>
      <protection locked="0"/>
    </xf>
    <xf numFmtId="0" fontId="41" fillId="0" borderId="0" xfId="0" applyFont="1" applyAlignment="1" applyProtection="1">
      <alignment vertical="center"/>
      <protection locked="0"/>
    </xf>
    <xf numFmtId="0" fontId="0" fillId="0" borderId="10" xfId="0" applyBorder="1" applyAlignment="1" applyProtection="1">
      <alignment vertical="center"/>
      <protection locked="0"/>
    </xf>
    <xf numFmtId="0" fontId="22" fillId="0" borderId="0" xfId="0" applyFont="1" applyAlignment="1" applyProtection="1">
      <alignment vertical="center"/>
      <protection locked="0"/>
    </xf>
    <xf numFmtId="164" fontId="2" fillId="0" borderId="0" xfId="0" applyNumberFormat="1" applyFont="1" applyAlignment="1" applyProtection="1">
      <alignment vertical="center"/>
      <protection locked="0"/>
    </xf>
    <xf numFmtId="0" fontId="0" fillId="0" borderId="31" xfId="0" applyBorder="1" applyAlignment="1" applyProtection="1">
      <alignment vertical="center"/>
      <protection locked="0"/>
    </xf>
    <xf numFmtId="0" fontId="67" fillId="16" borderId="14" xfId="0" applyFont="1" applyFill="1" applyBorder="1" applyAlignment="1" applyProtection="1">
      <alignment horizontal="center" vertical="center"/>
      <protection locked="0"/>
    </xf>
    <xf numFmtId="164" fontId="33" fillId="0" borderId="0" xfId="1" applyFont="1" applyBorder="1" applyAlignment="1" applyProtection="1">
      <alignment vertical="center"/>
      <protection locked="0" hidden="1"/>
    </xf>
    <xf numFmtId="0" fontId="37" fillId="0" borderId="0" xfId="0" applyFont="1" applyAlignment="1" applyProtection="1">
      <alignment horizontal="center" vertical="center"/>
      <protection locked="0" hidden="1"/>
    </xf>
    <xf numFmtId="0" fontId="46" fillId="0" borderId="8" xfId="0" applyFont="1" applyBorder="1" applyAlignment="1" applyProtection="1">
      <alignment horizontal="center" vertical="center"/>
      <protection locked="0"/>
    </xf>
    <xf numFmtId="164" fontId="59" fillId="0" borderId="7" xfId="1" applyFont="1" applyBorder="1" applyAlignment="1" applyProtection="1">
      <alignment vertical="center"/>
      <protection locked="0"/>
    </xf>
    <xf numFmtId="0" fontId="0" fillId="0" borderId="18" xfId="0" applyBorder="1" applyAlignment="1" applyProtection="1">
      <alignment vertical="center"/>
      <protection locked="0"/>
    </xf>
    <xf numFmtId="0" fontId="0" fillId="0" borderId="19" xfId="0" applyBorder="1" applyAlignment="1" applyProtection="1">
      <alignment horizontal="center" vertical="center"/>
      <protection locked="0"/>
    </xf>
    <xf numFmtId="0" fontId="39" fillId="0" borderId="0" xfId="0" applyFont="1" applyAlignment="1" applyProtection="1">
      <alignment horizontal="center" vertical="center" wrapText="1"/>
      <protection locked="0"/>
    </xf>
    <xf numFmtId="0" fontId="0" fillId="0" borderId="0" xfId="0" applyAlignment="1" applyProtection="1">
      <alignment horizontal="right" vertical="center"/>
      <protection locked="0"/>
    </xf>
    <xf numFmtId="0" fontId="0" fillId="18" borderId="7" xfId="0" applyFill="1" applyBorder="1" applyAlignment="1" applyProtection="1">
      <alignment vertical="center"/>
      <protection locked="0"/>
    </xf>
    <xf numFmtId="0" fontId="0" fillId="18" borderId="8" xfId="0" applyFill="1" applyBorder="1" applyAlignment="1" applyProtection="1">
      <alignment vertical="center"/>
      <protection locked="0"/>
    </xf>
    <xf numFmtId="0" fontId="0" fillId="18" borderId="9" xfId="0" applyFill="1" applyBorder="1" applyAlignment="1" applyProtection="1">
      <alignment vertical="center"/>
      <protection locked="0"/>
    </xf>
    <xf numFmtId="0" fontId="58" fillId="0" borderId="0" xfId="0" applyFont="1" applyAlignment="1" applyProtection="1">
      <alignment vertical="center"/>
      <protection locked="0"/>
    </xf>
    <xf numFmtId="0" fontId="58" fillId="0" borderId="0" xfId="0" applyFont="1" applyAlignment="1" applyProtection="1">
      <alignment horizontal="center" vertical="center"/>
      <protection locked="0"/>
    </xf>
    <xf numFmtId="0" fontId="58" fillId="18" borderId="10" xfId="0" applyFont="1" applyFill="1" applyBorder="1" applyAlignment="1" applyProtection="1">
      <alignment vertical="center"/>
      <protection locked="0"/>
    </xf>
    <xf numFmtId="0" fontId="58" fillId="18" borderId="0" xfId="0" applyFont="1" applyFill="1" applyAlignment="1" applyProtection="1">
      <alignment vertical="center"/>
      <protection locked="0"/>
    </xf>
    <xf numFmtId="0" fontId="0" fillId="18" borderId="11" xfId="0" applyFill="1" applyBorder="1" applyAlignment="1" applyProtection="1">
      <alignment vertical="center"/>
      <protection locked="0"/>
    </xf>
    <xf numFmtId="0" fontId="58" fillId="18" borderId="18" xfId="0" applyFont="1" applyFill="1" applyBorder="1" applyAlignment="1" applyProtection="1">
      <alignment vertical="center"/>
      <protection locked="0"/>
    </xf>
    <xf numFmtId="0" fontId="58" fillId="18" borderId="19" xfId="0" applyFont="1" applyFill="1" applyBorder="1" applyAlignment="1" applyProtection="1">
      <alignment vertical="center"/>
      <protection locked="0"/>
    </xf>
    <xf numFmtId="0" fontId="58" fillId="18" borderId="20" xfId="0" applyFont="1" applyFill="1" applyBorder="1" applyAlignment="1" applyProtection="1">
      <alignment vertical="center"/>
      <protection locked="0"/>
    </xf>
    <xf numFmtId="0" fontId="34" fillId="0" borderId="0" xfId="0" applyFont="1" applyAlignment="1" applyProtection="1">
      <alignment horizontal="center" vertical="center"/>
      <protection hidden="1"/>
    </xf>
    <xf numFmtId="0" fontId="29" fillId="9" borderId="7" xfId="0" applyFont="1" applyFill="1" applyBorder="1" applyAlignment="1" applyProtection="1">
      <alignment horizontal="right" vertical="center"/>
      <protection hidden="1"/>
    </xf>
    <xf numFmtId="0" fontId="100" fillId="9" borderId="8" xfId="0" applyFont="1" applyFill="1" applyBorder="1" applyAlignment="1" applyProtection="1">
      <alignment horizontal="center" vertical="center" wrapText="1"/>
      <protection hidden="1"/>
    </xf>
    <xf numFmtId="165" fontId="6" fillId="8" borderId="49" xfId="0" applyNumberFormat="1" applyFont="1" applyFill="1" applyBorder="1" applyAlignment="1" applyProtection="1">
      <alignment horizontal="center" vertical="center"/>
      <protection hidden="1"/>
    </xf>
    <xf numFmtId="165" fontId="6" fillId="8" borderId="59" xfId="0" applyNumberFormat="1" applyFont="1" applyFill="1" applyBorder="1" applyAlignment="1" applyProtection="1">
      <alignment horizontal="center" vertical="center"/>
      <protection hidden="1"/>
    </xf>
    <xf numFmtId="165" fontId="6" fillId="8" borderId="3" xfId="0" applyNumberFormat="1" applyFont="1" applyFill="1" applyBorder="1" applyAlignment="1" applyProtection="1">
      <alignment horizontal="center" vertical="center"/>
      <protection hidden="1"/>
    </xf>
    <xf numFmtId="0" fontId="28" fillId="33" borderId="15" xfId="0" applyFont="1" applyFill="1" applyBorder="1" applyAlignment="1" applyProtection="1">
      <alignment horizontal="center" vertical="center" wrapText="1"/>
      <protection hidden="1"/>
    </xf>
    <xf numFmtId="0" fontId="28" fillId="33" borderId="12" xfId="0" applyFont="1" applyFill="1" applyBorder="1" applyAlignment="1" applyProtection="1">
      <alignment horizontal="center" vertical="center" wrapText="1"/>
      <protection hidden="1"/>
    </xf>
    <xf numFmtId="0" fontId="48" fillId="36" borderId="0" xfId="0" applyFont="1" applyFill="1" applyAlignment="1">
      <alignment vertical="center"/>
    </xf>
    <xf numFmtId="0" fontId="2" fillId="36" borderId="0" xfId="0" applyFont="1" applyFill="1" applyAlignment="1">
      <alignment vertical="center"/>
    </xf>
    <xf numFmtId="0" fontId="48" fillId="29" borderId="0" xfId="0" applyFont="1" applyFill="1" applyAlignment="1">
      <alignment vertical="center"/>
    </xf>
    <xf numFmtId="0" fontId="2" fillId="29" borderId="48" xfId="0" applyFont="1" applyFill="1" applyBorder="1" applyAlignment="1">
      <alignment vertical="center"/>
    </xf>
    <xf numFmtId="0" fontId="2" fillId="0" borderId="4" xfId="0" applyFont="1" applyBorder="1" applyAlignment="1">
      <alignment vertical="center"/>
    </xf>
    <xf numFmtId="0" fontId="23" fillId="0" borderId="4" xfId="0" applyFont="1" applyBorder="1" applyAlignment="1">
      <alignment vertical="center"/>
    </xf>
    <xf numFmtId="0" fontId="12" fillId="0" borderId="4" xfId="0" applyFont="1" applyBorder="1" applyAlignment="1">
      <alignment vertical="center"/>
    </xf>
    <xf numFmtId="0" fontId="2" fillId="0" borderId="6" xfId="0" applyFont="1" applyBorder="1" applyAlignment="1">
      <alignment vertical="center"/>
    </xf>
    <xf numFmtId="0" fontId="97" fillId="0" borderId="4" xfId="0" applyFont="1" applyBorder="1" applyAlignment="1">
      <alignment horizontal="center" vertical="center"/>
    </xf>
    <xf numFmtId="0" fontId="2" fillId="0" borderId="4" xfId="0" applyFont="1" applyBorder="1" applyAlignment="1">
      <alignment horizontal="center" vertical="center"/>
    </xf>
    <xf numFmtId="0" fontId="12" fillId="0" borderId="4" xfId="0" applyFont="1" applyBorder="1" applyAlignment="1">
      <alignment horizontal="center" vertical="center"/>
    </xf>
    <xf numFmtId="0" fontId="116" fillId="0" borderId="6" xfId="0" applyFont="1" applyBorder="1" applyAlignment="1">
      <alignment horizontal="center" vertical="center"/>
    </xf>
    <xf numFmtId="0" fontId="2" fillId="0" borderId="6" xfId="0" applyFont="1" applyBorder="1" applyAlignment="1">
      <alignment horizontal="center" vertical="center"/>
    </xf>
    <xf numFmtId="0" fontId="116" fillId="29" borderId="48" xfId="0" applyFont="1" applyFill="1" applyBorder="1" applyAlignment="1">
      <alignment vertical="center"/>
    </xf>
    <xf numFmtId="0" fontId="61" fillId="29" borderId="48" xfId="0" applyFont="1" applyFill="1" applyBorder="1" applyAlignment="1">
      <alignment vertical="center"/>
    </xf>
    <xf numFmtId="0" fontId="34" fillId="0" borderId="4" xfId="0" applyFont="1" applyBorder="1" applyAlignment="1">
      <alignment vertical="center"/>
    </xf>
    <xf numFmtId="0" fontId="80" fillId="0" borderId="4" xfId="0" applyFont="1" applyBorder="1" applyAlignment="1">
      <alignment vertical="center"/>
    </xf>
    <xf numFmtId="0" fontId="2" fillId="3" borderId="10" xfId="0" applyFont="1" applyFill="1" applyBorder="1" applyAlignment="1">
      <alignment vertical="center"/>
    </xf>
    <xf numFmtId="0" fontId="1" fillId="0" borderId="10" xfId="0" applyFont="1" applyBorder="1" applyAlignment="1">
      <alignment vertical="center"/>
    </xf>
    <xf numFmtId="0" fontId="7" fillId="37" borderId="47" xfId="0" applyFont="1" applyFill="1" applyBorder="1" applyAlignment="1">
      <alignment vertical="center"/>
    </xf>
    <xf numFmtId="0" fontId="95" fillId="0" borderId="4" xfId="0" applyFont="1" applyBorder="1" applyAlignment="1">
      <alignment horizontal="center" vertical="center"/>
    </xf>
    <xf numFmtId="0" fontId="61" fillId="0" borderId="4" xfId="0" applyFont="1" applyBorder="1" applyAlignment="1">
      <alignment horizontal="center" vertical="center"/>
    </xf>
    <xf numFmtId="0" fontId="43" fillId="0" borderId="4" xfId="0" applyFont="1" applyBorder="1" applyAlignment="1">
      <alignment horizontal="center" vertical="center"/>
    </xf>
    <xf numFmtId="0" fontId="1" fillId="0" borderId="4" xfId="0" applyFont="1" applyBorder="1" applyAlignment="1">
      <alignment horizontal="right" vertical="center"/>
    </xf>
    <xf numFmtId="0" fontId="93" fillId="0" borderId="4" xfId="0" applyFont="1" applyBorder="1" applyAlignment="1">
      <alignment horizontal="center" vertical="center"/>
    </xf>
    <xf numFmtId="2" fontId="85" fillId="0" borderId="4" xfId="0" applyNumberFormat="1" applyFont="1" applyBorder="1" applyAlignment="1">
      <alignment horizontal="center" vertical="center"/>
    </xf>
    <xf numFmtId="0" fontId="34" fillId="0" borderId="4" xfId="0" applyFont="1" applyBorder="1" applyAlignment="1">
      <alignment horizontal="center" vertical="center"/>
    </xf>
    <xf numFmtId="0" fontId="5" fillId="0" borderId="4" xfId="0" applyFont="1" applyBorder="1" applyAlignment="1">
      <alignment horizontal="center" vertical="center"/>
    </xf>
    <xf numFmtId="164" fontId="105" fillId="0" borderId="4" xfId="1" applyFont="1" applyBorder="1" applyAlignment="1" applyProtection="1">
      <alignment vertical="center"/>
      <protection hidden="1"/>
    </xf>
    <xf numFmtId="0" fontId="7" fillId="37" borderId="10" xfId="0" applyFont="1" applyFill="1" applyBorder="1" applyAlignment="1">
      <alignment vertical="center"/>
    </xf>
    <xf numFmtId="0" fontId="5" fillId="37" borderId="0" xfId="0" applyFont="1" applyFill="1" applyAlignment="1">
      <alignment horizontal="center" vertical="center"/>
    </xf>
    <xf numFmtId="2" fontId="92" fillId="37" borderId="0" xfId="0" applyNumberFormat="1" applyFont="1" applyFill="1" applyAlignment="1">
      <alignment horizontal="center" vertical="center"/>
    </xf>
    <xf numFmtId="164" fontId="12" fillId="37" borderId="48" xfId="1" applyFont="1" applyFill="1" applyBorder="1" applyAlignment="1" applyProtection="1">
      <alignment vertical="center"/>
    </xf>
    <xf numFmtId="164" fontId="12" fillId="37" borderId="55" xfId="1" applyFont="1" applyFill="1" applyBorder="1" applyAlignment="1" applyProtection="1">
      <alignment vertical="center"/>
    </xf>
    <xf numFmtId="0" fontId="43" fillId="0" borderId="4" xfId="0" applyFont="1" applyBorder="1" applyAlignment="1">
      <alignment vertical="center"/>
    </xf>
    <xf numFmtId="0" fontId="49" fillId="0" borderId="4" xfId="0" applyFont="1" applyBorder="1" applyAlignment="1">
      <alignment vertical="center"/>
    </xf>
    <xf numFmtId="0" fontId="1" fillId="0" borderId="4" xfId="0" applyFont="1" applyBorder="1" applyAlignment="1">
      <alignment vertical="center"/>
    </xf>
    <xf numFmtId="164" fontId="3" fillId="0" borderId="4" xfId="1" applyFont="1" applyBorder="1" applyAlignment="1" applyProtection="1">
      <alignment vertical="center"/>
    </xf>
    <xf numFmtId="0" fontId="1" fillId="19" borderId="10" xfId="0" applyFont="1" applyFill="1" applyBorder="1" applyAlignment="1">
      <alignment vertical="center"/>
    </xf>
    <xf numFmtId="0" fontId="47" fillId="0" borderId="10" xfId="0" applyFont="1" applyBorder="1" applyAlignment="1">
      <alignment vertical="center"/>
    </xf>
    <xf numFmtId="0" fontId="32" fillId="0" borderId="10" xfId="0" applyFont="1" applyBorder="1" applyAlignment="1">
      <alignment vertical="center"/>
    </xf>
    <xf numFmtId="0" fontId="2" fillId="0" borderId="10" xfId="0" applyFont="1" applyBorder="1" applyAlignment="1">
      <alignment vertical="center"/>
    </xf>
    <xf numFmtId="0" fontId="1" fillId="14" borderId="21" xfId="0" applyFont="1" applyFill="1" applyBorder="1" applyAlignment="1">
      <alignment vertical="center"/>
    </xf>
    <xf numFmtId="0" fontId="34" fillId="19" borderId="10" xfId="0" applyFont="1" applyFill="1" applyBorder="1" applyAlignment="1">
      <alignment vertical="center"/>
    </xf>
    <xf numFmtId="0" fontId="102" fillId="42" borderId="28" xfId="0" applyFont="1" applyFill="1" applyBorder="1" applyAlignment="1">
      <alignment vertical="center"/>
    </xf>
    <xf numFmtId="0" fontId="69" fillId="42" borderId="51" xfId="0" applyFont="1" applyFill="1" applyBorder="1" applyAlignment="1">
      <alignment horizontal="center" vertical="center"/>
    </xf>
    <xf numFmtId="0" fontId="69" fillId="42" borderId="29" xfId="0" applyFont="1" applyFill="1" applyBorder="1" applyAlignment="1">
      <alignment horizontal="center" vertical="center"/>
    </xf>
    <xf numFmtId="164" fontId="69" fillId="42" borderId="29" xfId="1" applyFont="1" applyFill="1" applyBorder="1" applyAlignment="1" applyProtection="1">
      <alignment vertical="center"/>
    </xf>
    <xf numFmtId="0" fontId="51" fillId="10" borderId="13" xfId="0" applyFont="1" applyFill="1" applyBorder="1" applyAlignment="1">
      <alignment vertical="center"/>
    </xf>
    <xf numFmtId="0" fontId="51" fillId="10" borderId="14" xfId="0" applyFont="1" applyFill="1" applyBorder="1" applyAlignment="1">
      <alignment horizontal="center" vertical="center"/>
    </xf>
    <xf numFmtId="0" fontId="51" fillId="10" borderId="14" xfId="0" applyFont="1" applyFill="1" applyBorder="1" applyAlignment="1">
      <alignment vertical="center"/>
    </xf>
    <xf numFmtId="0" fontId="77" fillId="10" borderId="12" xfId="0" applyFont="1" applyFill="1" applyBorder="1" applyAlignment="1">
      <alignment horizontal="center" vertical="center"/>
    </xf>
    <xf numFmtId="0" fontId="77" fillId="10" borderId="15" xfId="0" applyFont="1" applyFill="1" applyBorder="1" applyAlignment="1">
      <alignment horizontal="center" vertical="center" wrapText="1"/>
    </xf>
    <xf numFmtId="0" fontId="2" fillId="29" borderId="0" xfId="0" applyFont="1" applyFill="1" applyAlignment="1">
      <alignment horizontal="center" vertical="center"/>
    </xf>
    <xf numFmtId="0" fontId="97" fillId="29" borderId="4" xfId="0" applyFont="1" applyFill="1" applyBorder="1" applyAlignment="1">
      <alignment horizontal="center" vertical="center"/>
    </xf>
    <xf numFmtId="0" fontId="94" fillId="0" borderId="10" xfId="0" applyFont="1" applyBorder="1" applyAlignment="1">
      <alignment vertical="center"/>
    </xf>
    <xf numFmtId="0" fontId="117" fillId="0" borderId="0" xfId="0" applyFont="1" applyAlignment="1">
      <alignment horizontal="center" vertical="center"/>
    </xf>
    <xf numFmtId="0" fontId="94" fillId="0" borderId="0" xfId="0" applyFont="1" applyAlignment="1">
      <alignment horizontal="center" vertical="center"/>
    </xf>
    <xf numFmtId="0" fontId="32" fillId="0" borderId="0" xfId="0" applyFont="1" applyAlignment="1">
      <alignment horizontal="center" vertical="center"/>
    </xf>
    <xf numFmtId="0" fontId="2" fillId="0" borderId="0" xfId="0" applyFont="1" applyAlignment="1">
      <alignment horizontal="center" vertical="center"/>
    </xf>
    <xf numFmtId="164" fontId="7" fillId="0" borderId="4" xfId="1" applyFont="1" applyBorder="1" applyAlignment="1" applyProtection="1">
      <alignment vertical="center"/>
    </xf>
    <xf numFmtId="164" fontId="11" fillId="0" borderId="4" xfId="1" applyFont="1" applyBorder="1" applyAlignment="1" applyProtection="1">
      <alignment vertical="center"/>
    </xf>
    <xf numFmtId="0" fontId="94" fillId="0" borderId="0" xfId="0" applyFont="1" applyAlignment="1">
      <alignment vertical="center"/>
    </xf>
    <xf numFmtId="0" fontId="49" fillId="29" borderId="10" xfId="0" applyFont="1" applyFill="1" applyBorder="1" applyAlignment="1">
      <alignment vertical="center"/>
    </xf>
    <xf numFmtId="0" fontId="49" fillId="0" borderId="0" xfId="0" applyFont="1" applyAlignment="1">
      <alignment horizontal="right" vertical="center"/>
    </xf>
    <xf numFmtId="0" fontId="13" fillId="23" borderId="4" xfId="0" applyFont="1" applyFill="1" applyBorder="1" applyAlignment="1">
      <alignment vertical="center"/>
    </xf>
    <xf numFmtId="0" fontId="13" fillId="0" borderId="4" xfId="0" applyFont="1" applyBorder="1" applyAlignment="1">
      <alignment vertical="center"/>
    </xf>
    <xf numFmtId="0" fontId="14" fillId="0" borderId="4" xfId="0" applyFont="1" applyBorder="1" applyAlignment="1">
      <alignment vertical="center"/>
    </xf>
    <xf numFmtId="0" fontId="49" fillId="0" borderId="10" xfId="0" applyFont="1" applyBorder="1" applyAlignment="1">
      <alignment horizontal="right" vertical="center"/>
    </xf>
    <xf numFmtId="0" fontId="13" fillId="27" borderId="4" xfId="0" applyFont="1" applyFill="1" applyBorder="1" applyAlignment="1">
      <alignment vertical="center"/>
    </xf>
    <xf numFmtId="164" fontId="2" fillId="28" borderId="4" xfId="1" applyFont="1" applyFill="1" applyBorder="1" applyAlignment="1" applyProtection="1">
      <alignment vertical="center"/>
    </xf>
    <xf numFmtId="164" fontId="14" fillId="0" borderId="4" xfId="1" applyFont="1" applyBorder="1" applyAlignment="1" applyProtection="1">
      <alignment vertical="center"/>
    </xf>
    <xf numFmtId="0" fontId="34" fillId="35" borderId="4" xfId="0" applyFont="1" applyFill="1" applyBorder="1" applyAlignment="1">
      <alignment vertical="center"/>
    </xf>
    <xf numFmtId="0" fontId="95" fillId="35" borderId="4" xfId="0" applyFont="1" applyFill="1" applyBorder="1" applyAlignment="1">
      <alignment horizontal="center" vertical="center"/>
    </xf>
    <xf numFmtId="0" fontId="2" fillId="35" borderId="4" xfId="0" applyFont="1" applyFill="1" applyBorder="1" applyAlignment="1">
      <alignment horizontal="center" vertical="center"/>
    </xf>
    <xf numFmtId="164" fontId="7" fillId="35" borderId="4" xfId="1" applyFont="1" applyFill="1" applyBorder="1" applyAlignment="1" applyProtection="1">
      <alignment vertical="center"/>
    </xf>
    <xf numFmtId="0" fontId="80" fillId="35" borderId="4" xfId="0" applyFont="1" applyFill="1" applyBorder="1" applyAlignment="1">
      <alignment vertical="center"/>
    </xf>
    <xf numFmtId="164" fontId="11" fillId="35" borderId="4" xfId="1" applyFont="1" applyFill="1" applyBorder="1" applyAlignment="1" applyProtection="1">
      <alignment vertical="center"/>
    </xf>
    <xf numFmtId="0" fontId="43" fillId="0" borderId="10" xfId="0" applyFont="1" applyBorder="1" applyAlignment="1">
      <alignment vertical="center"/>
    </xf>
    <xf numFmtId="0" fontId="43" fillId="0" borderId="0" xfId="0" applyFont="1" applyAlignment="1">
      <alignment horizontal="center" vertical="center"/>
    </xf>
    <xf numFmtId="0" fontId="2" fillId="3" borderId="0" xfId="0" applyFont="1" applyFill="1" applyAlignment="1">
      <alignment horizontal="center" vertical="center"/>
    </xf>
    <xf numFmtId="0" fontId="34" fillId="13" borderId="10" xfId="0" applyFont="1" applyFill="1" applyBorder="1" applyAlignment="1">
      <alignment vertical="center"/>
    </xf>
    <xf numFmtId="0" fontId="34" fillId="13" borderId="0" xfId="0" applyFont="1" applyFill="1" applyAlignment="1">
      <alignment horizontal="center" vertical="center"/>
    </xf>
    <xf numFmtId="0" fontId="34" fillId="37" borderId="10" xfId="0" applyFont="1" applyFill="1" applyBorder="1" applyAlignment="1">
      <alignment vertical="center"/>
    </xf>
    <xf numFmtId="0" fontId="34" fillId="37" borderId="0" xfId="0" applyFont="1" applyFill="1" applyAlignment="1">
      <alignment vertical="center"/>
    </xf>
    <xf numFmtId="0" fontId="34" fillId="0" borderId="10" xfId="0" applyFont="1" applyBorder="1" applyAlignment="1">
      <alignment horizontal="right" vertical="center"/>
    </xf>
    <xf numFmtId="164" fontId="63" fillId="0" borderId="0" xfId="1" applyFont="1" applyBorder="1" applyAlignment="1" applyProtection="1">
      <alignment vertical="center"/>
      <protection hidden="1"/>
    </xf>
    <xf numFmtId="0" fontId="1" fillId="0" borderId="0" xfId="0" applyFont="1" applyAlignment="1">
      <alignment horizontal="center" vertical="center"/>
    </xf>
    <xf numFmtId="0" fontId="1" fillId="23" borderId="13" xfId="0" applyFont="1" applyFill="1" applyBorder="1" applyAlignment="1">
      <alignment vertical="center"/>
    </xf>
    <xf numFmtId="0" fontId="1" fillId="23" borderId="14" xfId="0" applyFont="1" applyFill="1" applyBorder="1" applyAlignment="1">
      <alignment horizontal="center" vertical="center"/>
    </xf>
    <xf numFmtId="0" fontId="2" fillId="23" borderId="14" xfId="0" applyFont="1" applyFill="1" applyBorder="1" applyAlignment="1">
      <alignment horizontal="center" vertical="center"/>
    </xf>
    <xf numFmtId="164" fontId="54" fillId="0" borderId="0" xfId="1" applyFont="1" applyBorder="1" applyAlignment="1" applyProtection="1">
      <alignment vertical="center"/>
    </xf>
    <xf numFmtId="0" fontId="1" fillId="13" borderId="10" xfId="0" applyFont="1" applyFill="1" applyBorder="1" applyAlignment="1">
      <alignment vertical="center"/>
    </xf>
    <xf numFmtId="0" fontId="1" fillId="13" borderId="0" xfId="0" applyFont="1" applyFill="1" applyAlignment="1">
      <alignment horizontal="center" vertical="center"/>
    </xf>
    <xf numFmtId="0" fontId="2" fillId="13" borderId="0" xfId="0" applyFont="1" applyFill="1" applyAlignment="1">
      <alignment horizontal="center" vertical="center"/>
    </xf>
    <xf numFmtId="0" fontId="2" fillId="11" borderId="10" xfId="0" applyFont="1" applyFill="1" applyBorder="1" applyAlignment="1">
      <alignment vertical="center"/>
    </xf>
    <xf numFmtId="0" fontId="2" fillId="11" borderId="0" xfId="0" applyFont="1" applyFill="1" applyAlignment="1">
      <alignment horizontal="center" vertical="center"/>
    </xf>
    <xf numFmtId="0" fontId="1" fillId="20" borderId="10" xfId="0" applyFont="1" applyFill="1" applyBorder="1" applyAlignment="1">
      <alignment vertical="center"/>
    </xf>
    <xf numFmtId="0" fontId="1" fillId="20" borderId="0" xfId="0" applyFont="1" applyFill="1" applyAlignment="1">
      <alignment horizontal="center" vertical="center"/>
    </xf>
    <xf numFmtId="0" fontId="2" fillId="20" borderId="0" xfId="0" applyFont="1" applyFill="1" applyAlignment="1">
      <alignment horizontal="center" vertical="center"/>
    </xf>
    <xf numFmtId="0" fontId="84" fillId="0" borderId="10" xfId="0" applyFont="1" applyBorder="1" applyAlignment="1" applyProtection="1">
      <alignment vertical="center"/>
      <protection hidden="1"/>
    </xf>
    <xf numFmtId="0" fontId="84"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1" fillId="36" borderId="10" xfId="0" applyFont="1" applyFill="1" applyBorder="1" applyAlignment="1">
      <alignment vertical="center"/>
    </xf>
    <xf numFmtId="0" fontId="1" fillId="36" borderId="48" xfId="0" applyFont="1" applyFill="1" applyBorder="1" applyAlignment="1">
      <alignment vertical="center"/>
    </xf>
    <xf numFmtId="0" fontId="1" fillId="36" borderId="55" xfId="0" applyFont="1" applyFill="1" applyBorder="1" applyAlignment="1">
      <alignment vertical="center"/>
    </xf>
    <xf numFmtId="0" fontId="1" fillId="26" borderId="10" xfId="0" applyFont="1" applyFill="1" applyBorder="1" applyAlignment="1">
      <alignment vertical="center"/>
    </xf>
    <xf numFmtId="0" fontId="1" fillId="26" borderId="0" xfId="0" applyFont="1" applyFill="1" applyAlignment="1">
      <alignment horizontal="center" vertical="center"/>
    </xf>
    <xf numFmtId="0" fontId="2" fillId="26" borderId="0" xfId="0" applyFont="1" applyFill="1" applyAlignment="1">
      <alignment horizontal="center" vertical="center"/>
    </xf>
    <xf numFmtId="0" fontId="1" fillId="13" borderId="18" xfId="0" applyFont="1" applyFill="1" applyBorder="1" applyAlignment="1">
      <alignment vertical="center"/>
    </xf>
    <xf numFmtId="0" fontId="1" fillId="13" borderId="19" xfId="0" applyFont="1" applyFill="1" applyBorder="1" applyAlignment="1">
      <alignment horizontal="center" vertical="center"/>
    </xf>
    <xf numFmtId="0" fontId="2" fillId="13" borderId="19" xfId="0" applyFont="1" applyFill="1" applyBorder="1" applyAlignment="1">
      <alignment horizontal="center" vertical="center"/>
    </xf>
    <xf numFmtId="164" fontId="1" fillId="13" borderId="19" xfId="1" applyFont="1" applyFill="1" applyBorder="1" applyAlignment="1" applyProtection="1">
      <alignment vertical="center"/>
    </xf>
    <xf numFmtId="0" fontId="1" fillId="21" borderId="13" xfId="0" applyFont="1" applyFill="1" applyBorder="1" applyAlignment="1">
      <alignment vertical="center"/>
    </xf>
    <xf numFmtId="0" fontId="1" fillId="21" borderId="14" xfId="0" applyFont="1" applyFill="1" applyBorder="1" applyAlignment="1">
      <alignment horizontal="center" vertical="center"/>
    </xf>
    <xf numFmtId="0" fontId="2" fillId="21" borderId="14" xfId="0" applyFont="1" applyFill="1" applyBorder="1" applyAlignment="1">
      <alignment horizontal="center" vertical="center"/>
    </xf>
    <xf numFmtId="164" fontId="34" fillId="21" borderId="14" xfId="1" applyFont="1" applyFill="1" applyBorder="1" applyAlignment="1" applyProtection="1">
      <alignment vertical="center"/>
    </xf>
    <xf numFmtId="0" fontId="32" fillId="0" borderId="13" xfId="0" applyFont="1" applyBorder="1" applyAlignment="1">
      <alignment vertical="center"/>
    </xf>
    <xf numFmtId="0" fontId="32" fillId="0" borderId="14" xfId="0" applyFont="1" applyBorder="1" applyAlignment="1">
      <alignment horizontal="center" vertical="center"/>
    </xf>
    <xf numFmtId="0" fontId="2" fillId="0" borderId="14" xfId="0" applyFont="1" applyBorder="1" applyAlignment="1">
      <alignment horizontal="center" vertical="center"/>
    </xf>
    <xf numFmtId="9" fontId="2" fillId="0" borderId="14" xfId="2" applyFont="1" applyFill="1" applyBorder="1" applyAlignment="1" applyProtection="1">
      <alignment horizontal="center" vertical="center"/>
    </xf>
    <xf numFmtId="0" fontId="70" fillId="13" borderId="13" xfId="0" applyFont="1" applyFill="1" applyBorder="1" applyAlignment="1">
      <alignment vertical="center"/>
    </xf>
    <xf numFmtId="0" fontId="70" fillId="13" borderId="14" xfId="0" applyFont="1" applyFill="1" applyBorder="1" applyAlignment="1">
      <alignment horizontal="center" vertical="center"/>
    </xf>
    <xf numFmtId="0" fontId="2" fillId="13" borderId="14" xfId="0" applyFont="1" applyFill="1" applyBorder="1" applyAlignment="1">
      <alignment horizontal="center" vertical="center"/>
    </xf>
    <xf numFmtId="164" fontId="81" fillId="13" borderId="14" xfId="1" applyFont="1" applyFill="1" applyBorder="1" applyAlignment="1" applyProtection="1">
      <alignment vertical="center"/>
    </xf>
    <xf numFmtId="0" fontId="18" fillId="0" borderId="10" xfId="0" applyFont="1" applyBorder="1" applyAlignment="1">
      <alignment vertical="center"/>
    </xf>
    <xf numFmtId="0" fontId="18" fillId="0" borderId="0" xfId="0" applyFont="1" applyAlignment="1">
      <alignment horizontal="center" vertical="center"/>
    </xf>
    <xf numFmtId="0" fontId="21" fillId="4" borderId="10" xfId="0" applyFont="1" applyFill="1" applyBorder="1" applyAlignment="1">
      <alignment horizontal="right" vertical="center"/>
    </xf>
    <xf numFmtId="0" fontId="21" fillId="4" borderId="0" xfId="0" applyFont="1" applyFill="1" applyAlignment="1">
      <alignment horizontal="center" vertical="center"/>
    </xf>
    <xf numFmtId="0" fontId="0" fillId="4" borderId="0" xfId="0" applyFill="1" applyAlignment="1">
      <alignment horizontal="center" vertical="center"/>
    </xf>
    <xf numFmtId="0" fontId="0" fillId="0" borderId="10" xfId="0" applyBorder="1" applyAlignment="1">
      <alignment vertical="center"/>
    </xf>
    <xf numFmtId="0" fontId="0" fillId="0" borderId="0" xfId="0" applyAlignment="1">
      <alignment horizontal="center" vertical="center"/>
    </xf>
    <xf numFmtId="14" fontId="2" fillId="0" borderId="0" xfId="0" applyNumberFormat="1" applyFont="1" applyAlignment="1">
      <alignment vertical="center"/>
    </xf>
    <xf numFmtId="0" fontId="0" fillId="0" borderId="0" xfId="0" applyAlignment="1">
      <alignment vertical="center"/>
    </xf>
    <xf numFmtId="2" fontId="2" fillId="0" borderId="0" xfId="0" applyNumberFormat="1" applyFont="1" applyAlignment="1">
      <alignment vertical="center"/>
    </xf>
    <xf numFmtId="164" fontId="2" fillId="0" borderId="0" xfId="0" applyNumberFormat="1" applyFont="1" applyAlignment="1">
      <alignment vertical="center"/>
    </xf>
    <xf numFmtId="0" fontId="67" fillId="16" borderId="13" xfId="0" applyFont="1" applyFill="1" applyBorder="1" applyAlignment="1">
      <alignment vertical="center"/>
    </xf>
    <xf numFmtId="0" fontId="34" fillId="0" borderId="10" xfId="0" applyFont="1" applyBorder="1" applyAlignment="1">
      <alignment vertical="center"/>
    </xf>
    <xf numFmtId="0" fontId="46" fillId="0" borderId="7" xfId="0" applyFont="1" applyBorder="1" applyAlignment="1">
      <alignment vertical="center"/>
    </xf>
    <xf numFmtId="0" fontId="0" fillId="0" borderId="18" xfId="0" applyBorder="1" applyAlignment="1">
      <alignment vertical="center"/>
    </xf>
    <xf numFmtId="164" fontId="33" fillId="0" borderId="0" xfId="1" applyFont="1" applyBorder="1" applyAlignment="1" applyProtection="1">
      <alignment vertical="center"/>
    </xf>
    <xf numFmtId="164" fontId="46" fillId="0" borderId="8" xfId="1" applyFont="1" applyBorder="1" applyAlignment="1" applyProtection="1">
      <alignment vertical="center"/>
    </xf>
    <xf numFmtId="0" fontId="0" fillId="0" borderId="19" xfId="0" applyBorder="1" applyAlignment="1">
      <alignment vertical="center"/>
    </xf>
    <xf numFmtId="2" fontId="2" fillId="0" borderId="19" xfId="0" applyNumberFormat="1" applyFont="1" applyBorder="1" applyAlignment="1">
      <alignment vertical="center"/>
    </xf>
    <xf numFmtId="0" fontId="0" fillId="0" borderId="10" xfId="0" applyBorder="1" applyAlignment="1" applyProtection="1">
      <alignment vertical="center"/>
      <protection hidden="1"/>
    </xf>
    <xf numFmtId="0" fontId="0" fillId="0" borderId="0" xfId="0" applyAlignment="1" applyProtection="1">
      <alignment horizontal="center" vertical="center"/>
      <protection locked="0" hidden="1"/>
    </xf>
    <xf numFmtId="164" fontId="49" fillId="0" borderId="11" xfId="1" applyFont="1" applyBorder="1" applyAlignment="1" applyProtection="1">
      <alignment vertical="center"/>
    </xf>
    <xf numFmtId="164" fontId="80" fillId="0" borderId="0" xfId="1" applyFont="1" applyBorder="1" applyAlignment="1" applyProtection="1">
      <alignment vertical="center"/>
    </xf>
    <xf numFmtId="164" fontId="7" fillId="38" borderId="11" xfId="1" applyFont="1" applyFill="1" applyBorder="1" applyAlignment="1" applyProtection="1">
      <alignment vertical="center"/>
    </xf>
    <xf numFmtId="164" fontId="7" fillId="38" borderId="0" xfId="1" applyFont="1" applyFill="1" applyBorder="1" applyAlignment="1" applyProtection="1">
      <alignment vertical="center"/>
    </xf>
    <xf numFmtId="164" fontId="10" fillId="39" borderId="31" xfId="1" applyFont="1" applyFill="1" applyBorder="1" applyAlignment="1" applyProtection="1">
      <alignment vertical="center"/>
    </xf>
    <xf numFmtId="164" fontId="10" fillId="39" borderId="0" xfId="1" applyFont="1" applyFill="1" applyBorder="1" applyAlignment="1" applyProtection="1">
      <alignment vertical="center"/>
    </xf>
    <xf numFmtId="164" fontId="69" fillId="42" borderId="12" xfId="1" applyFont="1" applyFill="1" applyBorder="1" applyAlignment="1" applyProtection="1">
      <alignment vertical="center"/>
    </xf>
    <xf numFmtId="164" fontId="69" fillId="42" borderId="0" xfId="1" applyFont="1" applyFill="1" applyBorder="1" applyAlignment="1" applyProtection="1">
      <alignment vertical="center"/>
    </xf>
    <xf numFmtId="0" fontId="94" fillId="0" borderId="31" xfId="0" applyFont="1" applyBorder="1" applyAlignment="1">
      <alignment horizontal="center" vertical="center"/>
    </xf>
    <xf numFmtId="0" fontId="96" fillId="0" borderId="0" xfId="0" applyFont="1" applyAlignment="1">
      <alignment horizontal="center" vertical="center"/>
    </xf>
    <xf numFmtId="0" fontId="34" fillId="37" borderId="11" xfId="0" applyFont="1" applyFill="1" applyBorder="1" applyAlignment="1">
      <alignment vertical="center"/>
    </xf>
    <xf numFmtId="164" fontId="55" fillId="0" borderId="4" xfId="1" applyFont="1" applyBorder="1" applyAlignment="1" applyProtection="1">
      <alignment vertical="center"/>
    </xf>
    <xf numFmtId="164" fontId="55" fillId="0" borderId="0" xfId="1" applyFont="1" applyBorder="1" applyAlignment="1" applyProtection="1">
      <alignment vertical="center"/>
    </xf>
    <xf numFmtId="164" fontId="58" fillId="24" borderId="12" xfId="1" applyFont="1" applyFill="1" applyBorder="1" applyAlignment="1" applyProtection="1">
      <alignment vertical="center"/>
    </xf>
    <xf numFmtId="164" fontId="53" fillId="0" borderId="31" xfId="1" applyFont="1" applyBorder="1" applyAlignment="1" applyProtection="1">
      <alignment vertical="center"/>
    </xf>
    <xf numFmtId="164" fontId="53" fillId="0" borderId="0" xfId="1" applyFont="1" applyBorder="1" applyAlignment="1" applyProtection="1">
      <alignment vertical="center"/>
    </xf>
    <xf numFmtId="164" fontId="16" fillId="0" borderId="31" xfId="1" applyFont="1" applyBorder="1" applyAlignment="1" applyProtection="1">
      <alignment vertical="center"/>
    </xf>
    <xf numFmtId="164" fontId="15" fillId="0" borderId="31" xfId="1" applyFont="1" applyBorder="1" applyAlignment="1" applyProtection="1">
      <alignment vertical="center"/>
    </xf>
    <xf numFmtId="164" fontId="15" fillId="0" borderId="0" xfId="1" applyFont="1" applyBorder="1" applyAlignment="1" applyProtection="1">
      <alignment vertical="center"/>
    </xf>
    <xf numFmtId="164" fontId="82" fillId="0" borderId="31" xfId="1" applyFont="1" applyBorder="1" applyAlignment="1" applyProtection="1">
      <alignment vertical="center"/>
    </xf>
    <xf numFmtId="164" fontId="11" fillId="15" borderId="12" xfId="1" applyFont="1" applyFill="1" applyBorder="1" applyAlignment="1" applyProtection="1">
      <alignment vertical="center"/>
    </xf>
    <xf numFmtId="164" fontId="49" fillId="0" borderId="0" xfId="1" applyFont="1" applyBorder="1" applyAlignment="1" applyProtection="1">
      <alignment vertical="center"/>
    </xf>
    <xf numFmtId="164" fontId="1" fillId="21" borderId="12" xfId="1" applyFont="1" applyFill="1" applyBorder="1" applyAlignment="1" applyProtection="1">
      <alignment vertical="center"/>
    </xf>
    <xf numFmtId="0" fontId="22" fillId="0" borderId="31" xfId="0" applyFont="1" applyBorder="1" applyAlignment="1">
      <alignment vertical="center"/>
    </xf>
    <xf numFmtId="0" fontId="0" fillId="0" borderId="31" xfId="0" applyBorder="1" applyAlignment="1">
      <alignment vertical="center"/>
    </xf>
    <xf numFmtId="164" fontId="33" fillId="0" borderId="31" xfId="1" applyFont="1" applyBorder="1" applyAlignment="1" applyProtection="1">
      <alignment vertical="center"/>
    </xf>
    <xf numFmtId="0" fontId="0" fillId="0" borderId="32" xfId="0" applyBorder="1" applyAlignment="1">
      <alignment vertical="center"/>
    </xf>
    <xf numFmtId="0" fontId="62" fillId="18" borderId="10" xfId="0" applyFont="1" applyFill="1" applyBorder="1" applyAlignment="1" applyProtection="1">
      <alignment horizontal="right" vertical="center"/>
      <protection hidden="1"/>
    </xf>
    <xf numFmtId="2" fontId="2" fillId="18" borderId="0" xfId="0" applyNumberFormat="1" applyFont="1" applyFill="1" applyAlignment="1" applyProtection="1">
      <alignment vertical="center"/>
      <protection hidden="1"/>
    </xf>
    <xf numFmtId="0" fontId="32" fillId="18" borderId="0" xfId="0" applyFont="1" applyFill="1" applyAlignment="1" applyProtection="1">
      <alignment vertical="center"/>
      <protection hidden="1"/>
    </xf>
    <xf numFmtId="0" fontId="62" fillId="18" borderId="13" xfId="0" applyFont="1" applyFill="1" applyBorder="1" applyAlignment="1" applyProtection="1">
      <alignment horizontal="right" vertical="center"/>
      <protection hidden="1"/>
    </xf>
    <xf numFmtId="0" fontId="62" fillId="18" borderId="36" xfId="0" applyFont="1" applyFill="1" applyBorder="1" applyAlignment="1" applyProtection="1">
      <alignment horizontal="right" vertical="center"/>
      <protection hidden="1"/>
    </xf>
    <xf numFmtId="0" fontId="32" fillId="18" borderId="34" xfId="0" applyFont="1" applyFill="1" applyBorder="1" applyAlignment="1" applyProtection="1">
      <alignment vertical="center"/>
      <protection hidden="1"/>
    </xf>
    <xf numFmtId="0" fontId="88" fillId="18" borderId="38" xfId="0" applyFont="1" applyFill="1" applyBorder="1" applyAlignment="1" applyProtection="1">
      <alignment horizontal="right" vertical="center"/>
      <protection hidden="1"/>
    </xf>
    <xf numFmtId="0" fontId="39" fillId="0" borderId="7" xfId="0" applyFont="1" applyBorder="1" applyAlignment="1" applyProtection="1">
      <alignment vertical="center"/>
      <protection hidden="1"/>
    </xf>
    <xf numFmtId="164" fontId="60" fillId="17" borderId="0" xfId="0" applyNumberFormat="1" applyFont="1" applyFill="1" applyAlignment="1">
      <alignment vertical="center"/>
    </xf>
    <xf numFmtId="0" fontId="63" fillId="17" borderId="0" xfId="0" applyFont="1" applyFill="1" applyAlignment="1">
      <alignment horizontal="center" vertical="center" wrapText="1"/>
    </xf>
    <xf numFmtId="0" fontId="52" fillId="0" borderId="0" xfId="0" applyFont="1" applyAlignment="1" applyProtection="1">
      <alignment horizontal="left" vertical="center"/>
      <protection hidden="1"/>
    </xf>
    <xf numFmtId="0" fontId="52" fillId="23" borderId="0" xfId="0" applyFont="1" applyFill="1" applyAlignment="1" applyProtection="1">
      <alignment horizontal="left" vertical="center"/>
      <protection hidden="1"/>
    </xf>
    <xf numFmtId="0" fontId="109" fillId="23" borderId="0" xfId="1" applyNumberFormat="1" applyFont="1" applyFill="1" applyBorder="1" applyAlignment="1" applyProtection="1">
      <alignment horizontal="left" vertical="center"/>
      <protection hidden="1"/>
    </xf>
    <xf numFmtId="0" fontId="110" fillId="23" borderId="0" xfId="0" applyFont="1" applyFill="1" applyAlignment="1" applyProtection="1">
      <alignment horizontal="left" vertical="center"/>
      <protection hidden="1"/>
    </xf>
    <xf numFmtId="0" fontId="109" fillId="23" borderId="0" xfId="0" applyFont="1" applyFill="1" applyAlignment="1" applyProtection="1">
      <alignment horizontal="left" vertical="center"/>
      <protection hidden="1"/>
    </xf>
    <xf numFmtId="0" fontId="111" fillId="23" borderId="0" xfId="0" applyFont="1" applyFill="1" applyAlignment="1" applyProtection="1">
      <alignment horizontal="left" vertical="center"/>
      <protection hidden="1"/>
    </xf>
    <xf numFmtId="0" fontId="52" fillId="23" borderId="0" xfId="0" applyFont="1" applyFill="1" applyAlignment="1" applyProtection="1">
      <alignment horizontal="left" vertical="center" wrapText="1"/>
      <protection hidden="1"/>
    </xf>
    <xf numFmtId="0" fontId="110" fillId="0" borderId="0" xfId="0" applyFont="1" applyAlignment="1" applyProtection="1">
      <alignment horizontal="left" vertical="center"/>
      <protection hidden="1"/>
    </xf>
    <xf numFmtId="0" fontId="118" fillId="0" borderId="52" xfId="0" applyFont="1" applyBorder="1" applyAlignment="1" applyProtection="1">
      <alignment horizontal="right" vertical="center"/>
      <protection hidden="1"/>
    </xf>
    <xf numFmtId="0" fontId="118" fillId="0" borderId="53" xfId="0" applyFont="1" applyBorder="1" applyAlignment="1" applyProtection="1">
      <alignment vertical="center"/>
      <protection hidden="1"/>
    </xf>
    <xf numFmtId="0" fontId="118" fillId="0" borderId="53" xfId="0" applyFont="1" applyBorder="1" applyAlignment="1" applyProtection="1">
      <alignment horizontal="right" vertical="center"/>
      <protection hidden="1"/>
    </xf>
    <xf numFmtId="0" fontId="118" fillId="0" borderId="54" xfId="0" applyFont="1" applyBorder="1" applyAlignment="1" applyProtection="1">
      <alignment horizontal="center" vertical="center"/>
      <protection hidden="1"/>
    </xf>
    <xf numFmtId="0" fontId="58" fillId="0" borderId="0" xfId="0" applyFont="1" applyAlignment="1" applyProtection="1">
      <alignment vertical="center"/>
      <protection hidden="1"/>
    </xf>
    <xf numFmtId="0" fontId="58" fillId="0" borderId="0" xfId="0" applyFont="1" applyAlignment="1" applyProtection="1">
      <alignment horizontal="center" vertical="center"/>
      <protection hidden="1"/>
    </xf>
    <xf numFmtId="164" fontId="58" fillId="0" borderId="0" xfId="1" applyFont="1" applyProtection="1">
      <protection hidden="1"/>
    </xf>
    <xf numFmtId="0" fontId="80" fillId="0" borderId="0" xfId="0" applyFont="1" applyAlignment="1" applyProtection="1">
      <alignment vertical="center"/>
      <protection hidden="1"/>
    </xf>
    <xf numFmtId="0" fontId="80" fillId="0" borderId="0" xfId="0" applyFont="1" applyAlignment="1" applyProtection="1">
      <alignment horizontal="center" vertical="center"/>
      <protection hidden="1"/>
    </xf>
    <xf numFmtId="164" fontId="80" fillId="0" borderId="0" xfId="1" applyFont="1" applyProtection="1">
      <protection hidden="1"/>
    </xf>
    <xf numFmtId="0" fontId="119" fillId="0" borderId="10" xfId="0" applyFont="1" applyBorder="1" applyAlignment="1" applyProtection="1">
      <alignment vertical="center"/>
      <protection hidden="1"/>
    </xf>
    <xf numFmtId="0" fontId="119" fillId="0" borderId="0" xfId="0" applyFont="1" applyAlignment="1" applyProtection="1">
      <alignment horizontal="center" vertical="center"/>
      <protection hidden="1"/>
    </xf>
    <xf numFmtId="164" fontId="58" fillId="0" borderId="0" xfId="1" applyFont="1" applyBorder="1" applyAlignment="1" applyProtection="1">
      <alignment vertical="center"/>
      <protection hidden="1"/>
    </xf>
    <xf numFmtId="0" fontId="120" fillId="0" borderId="10" xfId="0" applyFont="1" applyBorder="1" applyAlignment="1" applyProtection="1">
      <alignment vertical="center"/>
      <protection hidden="1"/>
    </xf>
    <xf numFmtId="0" fontId="120" fillId="0" borderId="0" xfId="0" applyFont="1" applyAlignment="1" applyProtection="1">
      <alignment horizontal="center" vertical="center"/>
      <protection hidden="1"/>
    </xf>
    <xf numFmtId="164" fontId="80" fillId="0" borderId="0" xfId="1" applyFont="1" applyBorder="1" applyAlignment="1" applyProtection="1">
      <alignment vertical="center"/>
      <protection hidden="1"/>
    </xf>
    <xf numFmtId="0" fontId="121" fillId="0" borderId="0" xfId="0" applyFont="1" applyAlignment="1" applyProtection="1">
      <alignment horizontal="left" vertical="center"/>
      <protection hidden="1"/>
    </xf>
    <xf numFmtId="0" fontId="0" fillId="0" borderId="0" xfId="0" applyAlignment="1" applyProtection="1">
      <alignment vertical="center"/>
      <protection hidden="1"/>
    </xf>
    <xf numFmtId="164" fontId="32" fillId="0" borderId="0" xfId="1" applyProtection="1">
      <protection hidden="1"/>
    </xf>
    <xf numFmtId="164" fontId="123" fillId="0" borderId="33" xfId="1" applyFont="1" applyBorder="1" applyAlignment="1" applyProtection="1">
      <alignment vertical="center"/>
      <protection locked="0"/>
    </xf>
    <xf numFmtId="2" fontId="125" fillId="0" borderId="0" xfId="0" applyNumberFormat="1" applyFont="1" applyAlignment="1" applyProtection="1">
      <alignment vertical="center"/>
      <protection locked="0"/>
    </xf>
    <xf numFmtId="0" fontId="127" fillId="0" borderId="0" xfId="0" applyFont="1" applyAlignment="1" applyProtection="1">
      <alignment horizontal="center" vertical="center"/>
      <protection locked="0"/>
    </xf>
    <xf numFmtId="0" fontId="128" fillId="12" borderId="0" xfId="0" applyFont="1" applyFill="1"/>
    <xf numFmtId="0" fontId="47" fillId="12" borderId="0" xfId="0" applyFont="1" applyFill="1" applyProtection="1">
      <protection locked="0"/>
    </xf>
    <xf numFmtId="0" fontId="122" fillId="0" borderId="0" xfId="0" applyFont="1" applyProtection="1">
      <protection hidden="1"/>
    </xf>
    <xf numFmtId="0" fontId="58" fillId="0" borderId="0" xfId="0" applyFont="1" applyProtection="1">
      <protection hidden="1"/>
    </xf>
    <xf numFmtId="0" fontId="0" fillId="0" borderId="0" xfId="0" applyAlignment="1" applyProtection="1">
      <alignment horizontal="center" vertical="center"/>
      <protection hidden="1"/>
    </xf>
    <xf numFmtId="164" fontId="105" fillId="0" borderId="0" xfId="1" applyFont="1" applyBorder="1" applyAlignment="1" applyProtection="1">
      <alignment vertical="center"/>
    </xf>
    <xf numFmtId="164" fontId="32" fillId="0" borderId="46" xfId="1" applyBorder="1" applyAlignment="1" applyProtection="1">
      <alignment vertical="center"/>
    </xf>
    <xf numFmtId="164" fontId="130" fillId="0" borderId="0" xfId="1" applyFont="1" applyBorder="1" applyAlignment="1" applyProtection="1">
      <alignment vertical="center"/>
    </xf>
    <xf numFmtId="0" fontId="129" fillId="0" borderId="0" xfId="0" applyFont="1" applyAlignment="1" applyProtection="1">
      <alignment vertical="center"/>
      <protection hidden="1"/>
    </xf>
    <xf numFmtId="14" fontId="67" fillId="12" borderId="0" xfId="0" applyNumberFormat="1" applyFont="1" applyFill="1" applyAlignment="1" applyProtection="1">
      <alignment horizontal="center"/>
      <protection locked="0"/>
    </xf>
    <xf numFmtId="0" fontId="2" fillId="43" borderId="4" xfId="0" applyFont="1" applyFill="1" applyBorder="1" applyAlignment="1" applyProtection="1">
      <alignment vertical="center"/>
      <protection locked="0"/>
    </xf>
    <xf numFmtId="0" fontId="2" fillId="43" borderId="10" xfId="0" applyFont="1" applyFill="1" applyBorder="1" applyAlignment="1" applyProtection="1">
      <alignment vertical="center"/>
      <protection locked="0"/>
    </xf>
    <xf numFmtId="9" fontId="49" fillId="0" borderId="0" xfId="2" applyFont="1" applyFill="1" applyBorder="1" applyAlignment="1" applyProtection="1">
      <alignment horizontal="center" vertical="center"/>
    </xf>
    <xf numFmtId="0" fontId="32" fillId="0" borderId="0" xfId="0" applyFont="1"/>
    <xf numFmtId="168" fontId="65" fillId="12" borderId="0" xfId="0" applyNumberFormat="1" applyFont="1" applyFill="1" applyProtection="1">
      <protection locked="0"/>
    </xf>
    <xf numFmtId="0" fontId="114" fillId="0" borderId="0" xfId="0" applyFont="1" applyAlignment="1" applyProtection="1">
      <alignment vertical="center"/>
      <protection hidden="1"/>
    </xf>
    <xf numFmtId="164" fontId="133" fillId="0" borderId="0" xfId="1" applyFont="1" applyBorder="1" applyAlignment="1" applyProtection="1">
      <alignment vertical="center"/>
    </xf>
    <xf numFmtId="9" fontId="43" fillId="0" borderId="12" xfId="2" applyFont="1" applyFill="1" applyBorder="1" applyAlignment="1" applyProtection="1">
      <alignment horizontal="center" vertical="center"/>
    </xf>
    <xf numFmtId="9" fontId="121" fillId="0" borderId="0" xfId="2" applyFont="1" applyFill="1" applyBorder="1" applyAlignment="1" applyProtection="1">
      <alignment horizontal="center" vertical="center" wrapText="1"/>
    </xf>
    <xf numFmtId="164" fontId="98" fillId="0" borderId="0" xfId="1" applyFont="1" applyProtection="1"/>
    <xf numFmtId="0" fontId="134" fillId="0" borderId="0" xfId="0" applyFont="1" applyAlignment="1" applyProtection="1">
      <alignment horizontal="right" vertical="center"/>
      <protection hidden="1"/>
    </xf>
    <xf numFmtId="0" fontId="98" fillId="0" borderId="0" xfId="0" applyFont="1" applyAlignment="1" applyProtection="1">
      <alignment horizontal="right" vertical="center"/>
      <protection locked="0"/>
    </xf>
    <xf numFmtId="164" fontId="60" fillId="0" borderId="0" xfId="1" applyFont="1" applyProtection="1">
      <protection hidden="1"/>
    </xf>
    <xf numFmtId="0" fontId="98" fillId="0" borderId="18" xfId="0" applyFont="1" applyBorder="1" applyAlignment="1" applyProtection="1">
      <alignment vertical="center"/>
      <protection hidden="1"/>
    </xf>
    <xf numFmtId="164" fontId="34" fillId="0" borderId="20" xfId="1" applyFont="1" applyBorder="1" applyAlignment="1" applyProtection="1">
      <alignment vertical="center"/>
      <protection hidden="1"/>
    </xf>
    <xf numFmtId="164" fontId="95" fillId="0" borderId="4" xfId="1" applyFont="1" applyBorder="1" applyAlignment="1" applyProtection="1">
      <alignment vertical="center"/>
    </xf>
    <xf numFmtId="0" fontId="67" fillId="12" borderId="0" xfId="0" applyFont="1" applyFill="1" applyAlignment="1" applyProtection="1">
      <alignment horizontal="left" vertical="center"/>
      <protection locked="0"/>
    </xf>
    <xf numFmtId="164" fontId="135" fillId="0" borderId="0" xfId="1" applyFont="1" applyBorder="1" applyAlignment="1" applyProtection="1">
      <alignment vertical="center"/>
    </xf>
    <xf numFmtId="164" fontId="136" fillId="0" borderId="0" xfId="1" applyFont="1" applyBorder="1" applyAlignment="1" applyProtection="1">
      <alignment vertical="center"/>
    </xf>
    <xf numFmtId="0" fontId="40" fillId="0" borderId="0" xfId="0" applyFont="1" applyAlignment="1" applyProtection="1">
      <alignment vertical="center"/>
      <protection hidden="1"/>
    </xf>
    <xf numFmtId="164" fontId="39" fillId="0" borderId="0" xfId="1" applyFont="1" applyProtection="1">
      <protection locked="0"/>
    </xf>
    <xf numFmtId="0" fontId="72" fillId="0" borderId="4" xfId="0" applyFont="1" applyBorder="1" applyProtection="1">
      <protection locked="0"/>
    </xf>
    <xf numFmtId="0" fontId="72" fillId="7" borderId="4" xfId="0" applyFont="1" applyFill="1" applyBorder="1" applyProtection="1">
      <protection locked="0"/>
    </xf>
    <xf numFmtId="0" fontId="72" fillId="7" borderId="4" xfId="0" applyFont="1" applyFill="1" applyBorder="1" applyAlignment="1" applyProtection="1">
      <alignment wrapText="1"/>
      <protection locked="0"/>
    </xf>
    <xf numFmtId="0" fontId="111" fillId="0" borderId="0" xfId="0" applyFont="1" applyAlignment="1" applyProtection="1">
      <alignment horizontal="center" vertical="center"/>
      <protection locked="0"/>
    </xf>
    <xf numFmtId="0" fontId="0" fillId="44" borderId="0" xfId="0" applyFill="1"/>
    <xf numFmtId="0" fontId="47" fillId="44" borderId="54" xfId="0" applyFont="1" applyFill="1" applyBorder="1" applyAlignment="1" applyProtection="1">
      <alignment horizontal="center" vertical="center"/>
      <protection locked="0"/>
    </xf>
    <xf numFmtId="0" fontId="0" fillId="44" borderId="0" xfId="0" applyFill="1" applyProtection="1">
      <protection locked="0"/>
    </xf>
    <xf numFmtId="0" fontId="23" fillId="45" borderId="4" xfId="0" applyFont="1" applyFill="1" applyBorder="1" applyAlignment="1">
      <alignment vertical="center"/>
    </xf>
    <xf numFmtId="0" fontId="97" fillId="45" borderId="4" xfId="0" applyFont="1" applyFill="1" applyBorder="1" applyAlignment="1">
      <alignment horizontal="center" vertical="center"/>
    </xf>
    <xf numFmtId="0" fontId="2" fillId="45" borderId="4" xfId="0" applyFont="1" applyFill="1" applyBorder="1" applyAlignment="1">
      <alignment horizontal="center" vertical="center"/>
    </xf>
    <xf numFmtId="164" fontId="3" fillId="45" borderId="4" xfId="1" applyFont="1" applyFill="1" applyBorder="1" applyAlignment="1" applyProtection="1">
      <alignment vertical="center"/>
      <protection locked="0"/>
    </xf>
    <xf numFmtId="164" fontId="43" fillId="45" borderId="4" xfId="1" applyFont="1" applyFill="1" applyBorder="1" applyAlignment="1" applyProtection="1">
      <alignment vertical="center"/>
    </xf>
    <xf numFmtId="164" fontId="58" fillId="45" borderId="4" xfId="1" applyFont="1" applyFill="1" applyBorder="1" applyAlignment="1" applyProtection="1">
      <alignment vertical="center"/>
    </xf>
    <xf numFmtId="2" fontId="2" fillId="45" borderId="0" xfId="0" applyNumberFormat="1" applyFont="1" applyFill="1" applyAlignment="1" applyProtection="1">
      <alignment vertical="center"/>
      <protection locked="0"/>
    </xf>
    <xf numFmtId="0" fontId="0" fillId="45" borderId="0" xfId="0" applyFill="1" applyAlignment="1" applyProtection="1">
      <alignment vertical="center"/>
      <protection locked="0"/>
    </xf>
    <xf numFmtId="0" fontId="52" fillId="45" borderId="0" xfId="0" applyFont="1" applyFill="1" applyAlignment="1" applyProtection="1">
      <alignment horizontal="left" vertical="center"/>
      <protection hidden="1"/>
    </xf>
    <xf numFmtId="0" fontId="3" fillId="45" borderId="4" xfId="0" applyFont="1" applyFill="1" applyBorder="1" applyAlignment="1" applyProtection="1">
      <alignment horizontal="center" vertical="center"/>
      <protection locked="0"/>
    </xf>
    <xf numFmtId="0" fontId="2" fillId="46" borderId="10" xfId="0" applyFont="1" applyFill="1" applyBorder="1" applyAlignment="1">
      <alignment vertical="center"/>
    </xf>
    <xf numFmtId="0" fontId="2" fillId="46" borderId="0" xfId="0" applyFont="1" applyFill="1" applyAlignment="1" applyProtection="1">
      <alignment horizontal="center" vertical="center"/>
      <protection locked="0"/>
    </xf>
    <xf numFmtId="164" fontId="2" fillId="46" borderId="0" xfId="1" applyFont="1" applyFill="1" applyBorder="1" applyAlignment="1" applyProtection="1">
      <alignment vertical="center"/>
      <protection locked="0"/>
    </xf>
    <xf numFmtId="164" fontId="0" fillId="45" borderId="31" xfId="1" applyFont="1" applyFill="1" applyBorder="1" applyAlignment="1" applyProtection="1">
      <alignment vertical="center"/>
    </xf>
    <xf numFmtId="164" fontId="0" fillId="45" borderId="0" xfId="1" applyFont="1" applyFill="1" applyBorder="1" applyAlignment="1" applyProtection="1">
      <alignment vertical="center"/>
    </xf>
    <xf numFmtId="0" fontId="6" fillId="47" borderId="4" xfId="0" applyFont="1" applyFill="1" applyBorder="1" applyAlignment="1">
      <alignment vertical="center"/>
    </xf>
    <xf numFmtId="0" fontId="6" fillId="47" borderId="4" xfId="0" applyFont="1" applyFill="1" applyBorder="1" applyAlignment="1" applyProtection="1">
      <alignment horizontal="center" vertical="center"/>
      <protection locked="0"/>
    </xf>
    <xf numFmtId="0" fontId="1" fillId="47" borderId="4" xfId="0" applyFont="1" applyFill="1" applyBorder="1" applyAlignment="1" applyProtection="1">
      <alignment horizontal="center" vertical="center"/>
      <protection locked="0"/>
    </xf>
    <xf numFmtId="164" fontId="1" fillId="47" borderId="4" xfId="1" applyFont="1" applyFill="1" applyBorder="1" applyAlignment="1" applyProtection="1">
      <alignment vertical="center"/>
    </xf>
    <xf numFmtId="164" fontId="9" fillId="45" borderId="4" xfId="1" applyFont="1" applyFill="1" applyBorder="1" applyAlignment="1" applyProtection="1">
      <alignment vertical="center"/>
    </xf>
    <xf numFmtId="164" fontId="8" fillId="45" borderId="0" xfId="0" applyNumberFormat="1" applyFont="1" applyFill="1" applyAlignment="1" applyProtection="1">
      <alignment vertical="center"/>
      <protection locked="0" hidden="1"/>
    </xf>
    <xf numFmtId="0" fontId="52" fillId="45" borderId="0" xfId="0" applyFont="1" applyFill="1" applyAlignment="1" applyProtection="1">
      <alignment vertical="center"/>
      <protection locked="0"/>
    </xf>
    <xf numFmtId="0" fontId="6" fillId="47" borderId="6" xfId="0" applyFont="1" applyFill="1" applyBorder="1" applyAlignment="1">
      <alignment vertical="center"/>
    </xf>
    <xf numFmtId="0" fontId="6" fillId="47" borderId="6" xfId="0" applyFont="1" applyFill="1" applyBorder="1" applyAlignment="1" applyProtection="1">
      <alignment horizontal="center" vertical="center"/>
      <protection locked="0"/>
    </xf>
    <xf numFmtId="0" fontId="1" fillId="47" borderId="6" xfId="0" applyFont="1" applyFill="1" applyBorder="1" applyAlignment="1" applyProtection="1">
      <alignment horizontal="center" vertical="center"/>
      <protection locked="0"/>
    </xf>
    <xf numFmtId="164" fontId="1" fillId="47" borderId="6" xfId="1" applyFont="1" applyFill="1" applyBorder="1" applyAlignment="1" applyProtection="1">
      <alignment vertical="center"/>
    </xf>
    <xf numFmtId="164" fontId="126" fillId="45" borderId="6" xfId="1" applyFont="1" applyFill="1" applyBorder="1" applyAlignment="1" applyProtection="1">
      <alignment vertical="center"/>
    </xf>
    <xf numFmtId="164" fontId="9" fillId="45" borderId="6" xfId="1" applyFont="1" applyFill="1" applyBorder="1" applyAlignment="1" applyProtection="1">
      <alignment vertical="center"/>
    </xf>
    <xf numFmtId="0" fontId="124" fillId="45" borderId="0" xfId="0" applyFont="1" applyFill="1" applyAlignment="1" applyProtection="1">
      <alignment vertical="center"/>
      <protection locked="0"/>
    </xf>
    <xf numFmtId="0" fontId="6" fillId="47" borderId="28" xfId="0" applyFont="1" applyFill="1" applyBorder="1" applyAlignment="1">
      <alignment vertical="center"/>
    </xf>
    <xf numFmtId="0" fontId="6" fillId="47" borderId="29" xfId="0" applyFont="1" applyFill="1" applyBorder="1" applyAlignment="1" applyProtection="1">
      <alignment horizontal="center" vertical="center"/>
      <protection locked="0"/>
    </xf>
    <xf numFmtId="0" fontId="1" fillId="47" borderId="29" xfId="0" applyFont="1" applyFill="1" applyBorder="1" applyAlignment="1" applyProtection="1">
      <alignment horizontal="center" vertical="center"/>
      <protection locked="0"/>
    </xf>
    <xf numFmtId="164" fontId="1" fillId="47" borderId="29" xfId="1" applyFont="1" applyFill="1" applyBorder="1" applyAlignment="1" applyProtection="1">
      <alignment vertical="center"/>
    </xf>
    <xf numFmtId="164" fontId="9" fillId="45" borderId="29" xfId="1" applyFont="1" applyFill="1" applyBorder="1" applyAlignment="1" applyProtection="1">
      <alignment vertical="center"/>
    </xf>
    <xf numFmtId="164" fontId="9" fillId="45" borderId="30" xfId="1" applyFont="1" applyFill="1" applyBorder="1" applyAlignment="1" applyProtection="1">
      <alignment vertical="center"/>
    </xf>
    <xf numFmtId="0" fontId="42" fillId="45" borderId="0" xfId="0" applyFont="1" applyFill="1" applyAlignment="1" applyProtection="1">
      <alignment vertical="center"/>
      <protection locked="0"/>
    </xf>
    <xf numFmtId="0" fontId="6" fillId="47" borderId="2" xfId="0" applyFont="1" applyFill="1" applyBorder="1" applyAlignment="1">
      <alignment vertical="center"/>
    </xf>
    <xf numFmtId="0" fontId="6" fillId="47" borderId="2" xfId="0" applyFont="1" applyFill="1" applyBorder="1" applyAlignment="1" applyProtection="1">
      <alignment horizontal="center" vertical="center"/>
      <protection locked="0"/>
    </xf>
    <xf numFmtId="0" fontId="1" fillId="47" borderId="2" xfId="0" applyFont="1" applyFill="1" applyBorder="1" applyAlignment="1" applyProtection="1">
      <alignment horizontal="center" vertical="center"/>
      <protection locked="0"/>
    </xf>
    <xf numFmtId="164" fontId="1" fillId="47" borderId="2" xfId="1" applyFont="1" applyFill="1" applyBorder="1" applyAlignment="1" applyProtection="1">
      <alignment vertical="center"/>
    </xf>
    <xf numFmtId="164" fontId="9" fillId="45" borderId="2" xfId="1" applyFont="1" applyFill="1" applyBorder="1" applyAlignment="1" applyProtection="1">
      <alignment vertical="center"/>
    </xf>
    <xf numFmtId="0" fontId="132" fillId="45" borderId="0" xfId="0" applyFont="1" applyFill="1" applyAlignment="1" applyProtection="1">
      <alignment vertical="center"/>
      <protection locked="0" hidden="1"/>
    </xf>
    <xf numFmtId="0" fontId="39" fillId="45" borderId="4" xfId="0" applyFont="1" applyFill="1" applyBorder="1" applyAlignment="1">
      <alignment horizontal="right" vertical="center"/>
    </xf>
    <xf numFmtId="0" fontId="39" fillId="45" borderId="4" xfId="0" applyFont="1" applyFill="1" applyBorder="1" applyAlignment="1" applyProtection="1">
      <alignment horizontal="center" vertical="center"/>
      <protection locked="0"/>
    </xf>
    <xf numFmtId="0" fontId="1" fillId="45" borderId="4" xfId="0" applyFont="1" applyFill="1" applyBorder="1" applyAlignment="1" applyProtection="1">
      <alignment horizontal="center" vertical="center"/>
      <protection locked="0"/>
    </xf>
    <xf numFmtId="164" fontId="39" fillId="45" borderId="4" xfId="1" applyFont="1" applyFill="1" applyBorder="1" applyAlignment="1" applyProtection="1">
      <alignment horizontal="center" vertical="center"/>
      <protection hidden="1"/>
    </xf>
    <xf numFmtId="0" fontId="6" fillId="45" borderId="10" xfId="0" applyFont="1" applyFill="1" applyBorder="1" applyAlignment="1">
      <alignment vertical="center"/>
    </xf>
    <xf numFmtId="0" fontId="6" fillId="45" borderId="0" xfId="0" applyFont="1" applyFill="1" applyAlignment="1" applyProtection="1">
      <alignment horizontal="center" vertical="center"/>
      <protection locked="0"/>
    </xf>
    <xf numFmtId="0" fontId="1" fillId="45" borderId="0" xfId="0" applyFont="1" applyFill="1" applyAlignment="1" applyProtection="1">
      <alignment horizontal="center" vertical="center"/>
      <protection locked="0"/>
    </xf>
    <xf numFmtId="164" fontId="1" fillId="45" borderId="0" xfId="1" applyFont="1" applyFill="1" applyBorder="1" applyAlignment="1" applyProtection="1">
      <alignment vertical="center"/>
      <protection locked="0"/>
    </xf>
    <xf numFmtId="164" fontId="9" fillId="45" borderId="31" xfId="1" applyFont="1" applyFill="1" applyBorder="1" applyAlignment="1" applyProtection="1">
      <alignment vertical="center"/>
    </xf>
    <xf numFmtId="164" fontId="9" fillId="45" borderId="0" xfId="1" applyFont="1" applyFill="1" applyBorder="1" applyAlignment="1" applyProtection="1">
      <alignment vertical="center"/>
    </xf>
    <xf numFmtId="0" fontId="23" fillId="45" borderId="10" xfId="0" applyFont="1" applyFill="1" applyBorder="1" applyAlignment="1">
      <alignment vertical="center"/>
    </xf>
    <xf numFmtId="0" fontId="12" fillId="45" borderId="0" xfId="0" applyFont="1" applyFill="1" applyAlignment="1" applyProtection="1">
      <alignment horizontal="center" vertical="center"/>
      <protection locked="0"/>
    </xf>
    <xf numFmtId="0" fontId="2" fillId="45" borderId="0" xfId="0" applyFont="1" applyFill="1" applyAlignment="1" applyProtection="1">
      <alignment horizontal="center" vertical="center"/>
      <protection locked="0"/>
    </xf>
    <xf numFmtId="164" fontId="3" fillId="45" borderId="4" xfId="1" applyFont="1" applyFill="1" applyBorder="1" applyAlignment="1" applyProtection="1">
      <alignment vertical="center"/>
      <protection locked="0" hidden="1"/>
    </xf>
    <xf numFmtId="164" fontId="44" fillId="45" borderId="11" xfId="1" applyFont="1" applyFill="1" applyBorder="1" applyAlignment="1" applyProtection="1">
      <alignment vertical="center"/>
    </xf>
    <xf numFmtId="164" fontId="80" fillId="45" borderId="0" xfId="1" applyFont="1" applyFill="1" applyBorder="1" applyAlignment="1" applyProtection="1">
      <alignment vertical="center"/>
    </xf>
    <xf numFmtId="164" fontId="136" fillId="45" borderId="0" xfId="1" applyFont="1" applyFill="1" applyBorder="1" applyAlignment="1" applyProtection="1">
      <alignment vertical="center"/>
    </xf>
    <xf numFmtId="164" fontId="113" fillId="45" borderId="0" xfId="1" applyFont="1" applyFill="1" applyProtection="1">
      <protection locked="0"/>
    </xf>
    <xf numFmtId="0" fontId="110" fillId="45" borderId="0" xfId="0" applyFont="1" applyFill="1" applyAlignment="1" applyProtection="1">
      <alignment horizontal="left" vertical="center"/>
      <protection hidden="1"/>
    </xf>
    <xf numFmtId="0" fontId="2" fillId="13" borderId="10" xfId="0" applyFont="1" applyFill="1" applyBorder="1" applyAlignment="1" applyProtection="1">
      <alignment vertical="center"/>
      <protection locked="0"/>
    </xf>
    <xf numFmtId="0" fontId="34" fillId="0" borderId="0" xfId="0" applyFont="1" applyProtection="1">
      <protection locked="0"/>
    </xf>
    <xf numFmtId="0" fontId="34" fillId="13" borderId="0" xfId="0" applyFont="1" applyFill="1"/>
    <xf numFmtId="168" fontId="34" fillId="0" borderId="0" xfId="0" applyNumberFormat="1" applyFont="1" applyProtection="1">
      <protection hidden="1"/>
    </xf>
    <xf numFmtId="164" fontId="12" fillId="45" borderId="4" xfId="1" applyFont="1" applyFill="1" applyBorder="1" applyAlignment="1" applyProtection="1">
      <alignment vertical="center"/>
    </xf>
    <xf numFmtId="164" fontId="110" fillId="45" borderId="0" xfId="0" applyNumberFormat="1" applyFont="1" applyFill="1" applyAlignment="1" applyProtection="1">
      <alignment vertical="center"/>
      <protection locked="0"/>
    </xf>
    <xf numFmtId="164" fontId="101" fillId="45" borderId="4" xfId="1" applyFont="1" applyFill="1" applyBorder="1" applyAlignment="1" applyProtection="1">
      <alignment vertical="center"/>
    </xf>
    <xf numFmtId="164" fontId="23" fillId="45" borderId="4" xfId="1" applyFont="1" applyFill="1" applyBorder="1" applyAlignment="1" applyProtection="1">
      <alignment vertical="center"/>
    </xf>
    <xf numFmtId="0" fontId="2" fillId="45" borderId="4" xfId="0" applyFont="1" applyFill="1" applyBorder="1" applyAlignment="1">
      <alignment vertical="center"/>
    </xf>
    <xf numFmtId="164" fontId="52" fillId="45" borderId="0" xfId="0" applyNumberFormat="1" applyFont="1" applyFill="1" applyAlignment="1" applyProtection="1">
      <alignment vertical="center"/>
      <protection locked="0"/>
    </xf>
    <xf numFmtId="164" fontId="43" fillId="0" borderId="22" xfId="1" applyFont="1" applyBorder="1" applyAlignment="1" applyProtection="1">
      <alignment vertical="center"/>
      <protection locked="0" hidden="1"/>
    </xf>
    <xf numFmtId="0" fontId="32" fillId="48" borderId="13" xfId="0" applyFont="1" applyFill="1" applyBorder="1" applyAlignment="1">
      <alignment vertical="center"/>
    </xf>
    <xf numFmtId="0" fontId="32" fillId="48" borderId="14" xfId="0" applyFont="1" applyFill="1" applyBorder="1" applyAlignment="1">
      <alignment horizontal="center" vertical="center"/>
    </xf>
    <xf numFmtId="0" fontId="2" fillId="48" borderId="14" xfId="0" applyFont="1" applyFill="1" applyBorder="1" applyAlignment="1">
      <alignment horizontal="center" vertical="center"/>
    </xf>
    <xf numFmtId="164" fontId="2" fillId="48" borderId="14" xfId="1" applyFont="1" applyFill="1" applyBorder="1" applyAlignment="1" applyProtection="1">
      <alignment vertical="center"/>
    </xf>
    <xf numFmtId="164" fontId="1" fillId="48" borderId="12" xfId="1" applyFont="1" applyFill="1" applyBorder="1" applyAlignment="1" applyProtection="1">
      <alignment vertical="center"/>
    </xf>
    <xf numFmtId="164" fontId="1" fillId="48" borderId="0" xfId="1" applyFont="1" applyFill="1" applyBorder="1" applyAlignment="1" applyProtection="1">
      <alignment vertical="center"/>
    </xf>
    <xf numFmtId="164" fontId="2" fillId="48" borderId="0" xfId="1" applyFont="1" applyFill="1" applyBorder="1" applyAlignment="1" applyProtection="1">
      <alignment vertical="center"/>
      <protection locked="0"/>
    </xf>
    <xf numFmtId="0" fontId="2" fillId="48" borderId="0" xfId="0" applyFont="1" applyFill="1" applyAlignment="1" applyProtection="1">
      <alignment vertical="center"/>
      <protection locked="0"/>
    </xf>
    <xf numFmtId="164" fontId="111" fillId="48" borderId="0" xfId="0" applyNumberFormat="1" applyFont="1" applyFill="1" applyAlignment="1" applyProtection="1">
      <alignment vertical="center"/>
      <protection locked="0"/>
    </xf>
    <xf numFmtId="0" fontId="52" fillId="48" borderId="0" xfId="0" applyFont="1" applyFill="1" applyAlignment="1" applyProtection="1">
      <alignment horizontal="left" vertical="center"/>
      <protection hidden="1"/>
    </xf>
    <xf numFmtId="0" fontId="0" fillId="48" borderId="0" xfId="0" applyFill="1" applyAlignment="1" applyProtection="1">
      <alignment vertical="center"/>
      <protection locked="0"/>
    </xf>
    <xf numFmtId="164" fontId="32" fillId="48" borderId="12" xfId="1" applyFill="1" applyBorder="1" applyAlignment="1" applyProtection="1">
      <alignment vertical="center"/>
    </xf>
    <xf numFmtId="164" fontId="32" fillId="48" borderId="0" xfId="1" applyFill="1" applyBorder="1" applyAlignment="1" applyProtection="1">
      <alignment vertical="center"/>
    </xf>
    <xf numFmtId="164" fontId="43" fillId="48" borderId="14" xfId="1" applyFont="1" applyFill="1" applyBorder="1" applyAlignment="1" applyProtection="1">
      <alignment vertical="center"/>
    </xf>
    <xf numFmtId="9" fontId="112" fillId="48" borderId="0" xfId="2" applyFont="1" applyFill="1" applyAlignment="1" applyProtection="1">
      <alignment vertical="center"/>
      <protection locked="0"/>
    </xf>
    <xf numFmtId="164" fontId="39" fillId="0" borderId="0" xfId="1" applyFont="1" applyAlignment="1" applyProtection="1">
      <alignment horizontal="center"/>
    </xf>
    <xf numFmtId="0" fontId="111" fillId="0" borderId="0" xfId="0" applyFont="1" applyAlignment="1">
      <alignment horizontal="center" vertical="center"/>
    </xf>
    <xf numFmtId="0" fontId="2" fillId="0" borderId="6" xfId="0" applyFont="1" applyBorder="1" applyProtection="1">
      <protection locked="0"/>
    </xf>
    <xf numFmtId="0" fontId="137" fillId="7" borderId="4" xfId="0" applyFont="1" applyFill="1" applyBorder="1" applyAlignment="1" applyProtection="1">
      <alignment wrapText="1"/>
      <protection locked="0"/>
    </xf>
    <xf numFmtId="0" fontId="98" fillId="13" borderId="48" xfId="0" applyFont="1" applyFill="1" applyBorder="1"/>
    <xf numFmtId="0" fontId="98" fillId="13" borderId="0" xfId="0" applyFont="1" applyFill="1"/>
    <xf numFmtId="168" fontId="0" fillId="13" borderId="15" xfId="0" applyNumberFormat="1" applyFill="1" applyBorder="1" applyProtection="1">
      <protection locked="0"/>
    </xf>
    <xf numFmtId="0" fontId="139" fillId="13" borderId="13" xfId="0" applyFont="1" applyFill="1" applyBorder="1" applyProtection="1">
      <protection locked="0"/>
    </xf>
    <xf numFmtId="0" fontId="139" fillId="0" borderId="0" xfId="0" applyFont="1" applyProtection="1">
      <protection locked="0"/>
    </xf>
    <xf numFmtId="164" fontId="7" fillId="0" borderId="0" xfId="1" applyFont="1" applyBorder="1" applyAlignment="1" applyProtection="1">
      <alignment vertical="center"/>
      <protection locked="0" hidden="1"/>
    </xf>
    <xf numFmtId="164" fontId="126" fillId="0" borderId="63" xfId="1" applyFont="1" applyBorder="1" applyAlignment="1" applyProtection="1">
      <alignment vertical="center"/>
      <protection hidden="1"/>
    </xf>
    <xf numFmtId="164" fontId="0" fillId="12" borderId="60" xfId="1" applyFont="1" applyFill="1" applyBorder="1" applyAlignment="1" applyProtection="1">
      <alignment vertical="center"/>
    </xf>
    <xf numFmtId="164" fontId="126" fillId="0" borderId="2" xfId="1" applyFont="1" applyBorder="1" applyAlignment="1" applyProtection="1">
      <alignment vertical="center"/>
      <protection hidden="1"/>
    </xf>
    <xf numFmtId="164" fontId="67" fillId="0" borderId="0" xfId="1" applyFont="1" applyProtection="1">
      <protection locked="0"/>
    </xf>
    <xf numFmtId="0" fontId="140" fillId="0" borderId="0" xfId="0" applyFont="1" applyAlignment="1">
      <alignment horizontal="center"/>
    </xf>
    <xf numFmtId="164" fontId="140" fillId="0" borderId="0" xfId="1" applyFont="1" applyProtection="1">
      <protection locked="0"/>
    </xf>
    <xf numFmtId="164" fontId="142" fillId="0" borderId="0" xfId="1" applyFont="1" applyProtection="1">
      <protection locked="0"/>
    </xf>
    <xf numFmtId="0" fontId="141" fillId="0" borderId="0" xfId="0" applyFont="1"/>
    <xf numFmtId="0" fontId="49" fillId="0" borderId="0" xfId="0" applyFont="1" applyAlignment="1">
      <alignment horizontal="left" vertical="center"/>
    </xf>
    <xf numFmtId="0" fontId="110" fillId="49" borderId="0" xfId="0" applyFont="1" applyFill="1" applyAlignment="1" applyProtection="1">
      <alignment horizontal="left" vertical="center"/>
      <protection hidden="1"/>
    </xf>
    <xf numFmtId="164" fontId="113" fillId="0" borderId="0" xfId="0" applyNumberFormat="1" applyFont="1" applyAlignment="1" applyProtection="1">
      <alignment vertical="center"/>
      <protection locked="0"/>
    </xf>
    <xf numFmtId="164" fontId="113" fillId="0" borderId="0" xfId="1" applyFont="1" applyProtection="1">
      <protection locked="0"/>
    </xf>
    <xf numFmtId="0" fontId="52" fillId="49" borderId="0" xfId="0" applyFont="1" applyFill="1" applyAlignment="1" applyProtection="1">
      <alignment horizontal="left" vertical="center"/>
      <protection hidden="1"/>
    </xf>
    <xf numFmtId="0" fontId="3" fillId="12" borderId="4" xfId="0" applyFont="1" applyFill="1" applyBorder="1" applyAlignment="1" applyProtection="1">
      <alignment vertical="center"/>
      <protection locked="0"/>
    </xf>
    <xf numFmtId="0" fontId="34" fillId="37" borderId="46" xfId="0" applyFont="1" applyFill="1" applyBorder="1" applyAlignment="1">
      <alignment vertical="center"/>
    </xf>
    <xf numFmtId="0" fontId="34" fillId="50" borderId="10" xfId="0" applyFont="1" applyFill="1" applyBorder="1" applyAlignment="1">
      <alignment vertical="center"/>
    </xf>
    <xf numFmtId="0" fontId="34" fillId="50" borderId="0" xfId="0" applyFont="1" applyFill="1" applyAlignment="1">
      <alignment horizontal="center" vertical="center"/>
    </xf>
    <xf numFmtId="164" fontId="34" fillId="50" borderId="0" xfId="1" applyFont="1" applyFill="1" applyBorder="1" applyAlignment="1" applyProtection="1">
      <alignment vertical="center"/>
    </xf>
    <xf numFmtId="164" fontId="34" fillId="0" borderId="31" xfId="1" applyFont="1" applyBorder="1" applyAlignment="1" applyProtection="1">
      <alignment vertical="center"/>
    </xf>
    <xf numFmtId="164" fontId="80" fillId="0" borderId="0" xfId="0" applyNumberFormat="1" applyFont="1" applyAlignment="1" applyProtection="1">
      <alignment vertical="center"/>
      <protection locked="0"/>
    </xf>
    <xf numFmtId="0" fontId="143" fillId="0" borderId="0" xfId="0" applyFont="1" applyAlignment="1" applyProtection="1">
      <alignment vertical="center"/>
      <protection locked="0"/>
    </xf>
    <xf numFmtId="164" fontId="143" fillId="0" borderId="0" xfId="1" applyFont="1" applyProtection="1">
      <protection locked="0"/>
    </xf>
    <xf numFmtId="164" fontId="80" fillId="0" borderId="0" xfId="1" applyFont="1" applyAlignment="1" applyProtection="1">
      <alignment vertical="center"/>
      <protection locked="0"/>
    </xf>
    <xf numFmtId="0" fontId="34" fillId="0" borderId="0" xfId="0" applyFont="1" applyAlignment="1">
      <alignment vertical="center"/>
    </xf>
    <xf numFmtId="164" fontId="98" fillId="0" borderId="0" xfId="1" applyFont="1" applyBorder="1" applyProtection="1"/>
    <xf numFmtId="164" fontId="81" fillId="13" borderId="12" xfId="1" applyFont="1" applyFill="1" applyBorder="1" applyAlignment="1" applyProtection="1">
      <alignment vertical="center"/>
    </xf>
    <xf numFmtId="168" fontId="49" fillId="0" borderId="48" xfId="0" applyNumberFormat="1" applyFont="1" applyBorder="1" applyProtection="1">
      <protection locked="0"/>
    </xf>
    <xf numFmtId="0" fontId="32" fillId="18" borderId="13" xfId="0" applyFont="1" applyFill="1" applyBorder="1" applyAlignment="1" applyProtection="1">
      <alignment horizontal="left" vertical="center"/>
      <protection locked="0"/>
    </xf>
    <xf numFmtId="0" fontId="0" fillId="18" borderId="14" xfId="0" applyFill="1" applyBorder="1" applyAlignment="1" applyProtection="1">
      <alignment horizontal="left" vertical="center"/>
      <protection locked="0"/>
    </xf>
    <xf numFmtId="0" fontId="0" fillId="18" borderId="15" xfId="0" applyFill="1" applyBorder="1" applyAlignment="1" applyProtection="1">
      <alignment horizontal="left" vertical="center"/>
      <protection locked="0"/>
    </xf>
    <xf numFmtId="0" fontId="131" fillId="0" borderId="0" xfId="0" applyFont="1" applyAlignment="1" applyProtection="1">
      <alignment horizontal="center" vertical="center" wrapText="1"/>
      <protection locked="0"/>
    </xf>
    <xf numFmtId="0" fontId="1" fillId="5" borderId="28" xfId="0" applyFont="1" applyFill="1" applyBorder="1" applyAlignment="1" applyProtection="1">
      <alignment vertical="center"/>
      <protection locked="0"/>
    </xf>
    <xf numFmtId="0" fontId="1" fillId="5" borderId="29" xfId="0" applyFont="1" applyFill="1" applyBorder="1" applyAlignment="1" applyProtection="1">
      <alignment vertical="center"/>
      <protection locked="0"/>
    </xf>
    <xf numFmtId="0" fontId="1" fillId="5" borderId="30" xfId="0" applyFont="1" applyFill="1" applyBorder="1" applyAlignment="1" applyProtection="1">
      <alignment vertical="center"/>
      <protection locked="0"/>
    </xf>
    <xf numFmtId="0" fontId="72" fillId="0" borderId="0" xfId="0" applyFont="1" applyAlignment="1" applyProtection="1">
      <alignment vertical="center"/>
      <protection locked="0"/>
    </xf>
    <xf numFmtId="164" fontId="47" fillId="0" borderId="0" xfId="1" applyFont="1" applyBorder="1" applyAlignment="1" applyProtection="1">
      <alignment vertical="center"/>
      <protection locked="0"/>
    </xf>
    <xf numFmtId="164" fontId="47" fillId="0" borderId="0" xfId="1" applyFont="1" applyBorder="1" applyAlignment="1" applyProtection="1">
      <alignment vertical="center"/>
      <protection hidden="1"/>
    </xf>
    <xf numFmtId="0" fontId="21" fillId="0" borderId="26" xfId="0" applyFont="1" applyBorder="1" applyAlignment="1" applyProtection="1">
      <alignment vertical="center"/>
      <protection locked="0"/>
    </xf>
    <xf numFmtId="0" fontId="2" fillId="0" borderId="2" xfId="0" applyFont="1" applyBorder="1" applyAlignment="1" applyProtection="1">
      <alignment vertical="center"/>
      <protection locked="0"/>
    </xf>
    <xf numFmtId="164" fontId="47" fillId="12" borderId="27" xfId="1" applyFont="1" applyFill="1" applyBorder="1" applyAlignment="1" applyProtection="1">
      <alignment vertical="center"/>
      <protection locked="0"/>
    </xf>
    <xf numFmtId="166" fontId="2" fillId="0" borderId="0" xfId="0" applyNumberFormat="1" applyFont="1" applyAlignment="1" applyProtection="1">
      <alignment vertical="center"/>
      <protection locked="0"/>
    </xf>
    <xf numFmtId="0" fontId="21" fillId="0" borderId="21" xfId="0" applyFont="1" applyBorder="1" applyAlignment="1" applyProtection="1">
      <alignment vertical="center"/>
      <protection locked="0"/>
    </xf>
    <xf numFmtId="164" fontId="47" fillId="12" borderId="22" xfId="1" applyFont="1" applyFill="1" applyBorder="1" applyAlignment="1" applyProtection="1">
      <alignment vertical="center"/>
      <protection locked="0"/>
    </xf>
    <xf numFmtId="164" fontId="43" fillId="0" borderId="22" xfId="1" applyFont="1" applyBorder="1" applyAlignment="1" applyProtection="1">
      <alignment vertical="center"/>
    </xf>
    <xf numFmtId="164" fontId="32" fillId="0" borderId="0" xfId="1" applyAlignment="1" applyProtection="1">
      <alignment vertical="center"/>
      <protection locked="0"/>
    </xf>
    <xf numFmtId="167" fontId="3" fillId="12" borderId="22" xfId="0" applyNumberFormat="1" applyFont="1" applyFill="1" applyBorder="1" applyAlignment="1" applyProtection="1">
      <alignment vertical="center"/>
      <protection locked="0"/>
    </xf>
    <xf numFmtId="2" fontId="3" fillId="0" borderId="0" xfId="0" applyNumberFormat="1" applyFont="1" applyAlignment="1" applyProtection="1">
      <alignment vertical="center"/>
      <protection locked="0"/>
    </xf>
    <xf numFmtId="0" fontId="4" fillId="0" borderId="0" xfId="0" applyFont="1" applyAlignment="1" applyProtection="1">
      <alignment vertical="center"/>
      <protection locked="0"/>
    </xf>
    <xf numFmtId="0" fontId="21" fillId="0" borderId="23" xfId="0" applyFont="1" applyBorder="1" applyAlignment="1" applyProtection="1">
      <alignment vertical="center"/>
      <protection locked="0"/>
    </xf>
    <xf numFmtId="0" fontId="2" fillId="0" borderId="24" xfId="0" applyFont="1" applyBorder="1" applyAlignment="1" applyProtection="1">
      <alignment vertical="center"/>
      <protection locked="0"/>
    </xf>
    <xf numFmtId="164" fontId="43" fillId="0" borderId="25" xfId="1" applyFont="1" applyBorder="1" applyAlignment="1" applyProtection="1">
      <alignment vertical="center"/>
    </xf>
    <xf numFmtId="9" fontId="32" fillId="0" borderId="0" xfId="0" applyNumberFormat="1" applyFont="1" applyAlignment="1" applyProtection="1">
      <alignment horizontal="left" vertical="center"/>
      <protection locked="0"/>
    </xf>
    <xf numFmtId="0" fontId="34" fillId="5" borderId="7" xfId="0" applyFont="1" applyFill="1" applyBorder="1" applyAlignment="1">
      <alignment vertical="center"/>
    </xf>
    <xf numFmtId="165" fontId="1" fillId="2" borderId="8" xfId="0" applyNumberFormat="1" applyFont="1" applyFill="1" applyBorder="1" applyAlignment="1">
      <alignment horizontal="center" vertical="center"/>
    </xf>
    <xf numFmtId="165" fontId="1" fillId="2" borderId="9" xfId="0" applyNumberFormat="1" applyFont="1" applyFill="1" applyBorder="1" applyAlignment="1">
      <alignment horizontal="center" vertical="center"/>
    </xf>
    <xf numFmtId="0" fontId="119" fillId="5" borderId="10" xfId="0" applyFont="1" applyFill="1" applyBorder="1" applyAlignment="1">
      <alignment vertical="center"/>
    </xf>
    <xf numFmtId="164" fontId="110" fillId="12" borderId="0" xfId="1" applyFont="1" applyFill="1" applyBorder="1" applyAlignment="1" applyProtection="1">
      <alignment vertical="center"/>
      <protection locked="0"/>
    </xf>
    <xf numFmtId="164" fontId="110" fillId="0" borderId="0" xfId="1" applyFont="1" applyBorder="1" applyAlignment="1" applyProtection="1">
      <alignment vertical="center"/>
      <protection locked="0"/>
    </xf>
    <xf numFmtId="164" fontId="110" fillId="0" borderId="11" xfId="1" applyFont="1" applyBorder="1" applyAlignment="1" applyProtection="1">
      <alignment vertical="center"/>
      <protection locked="0"/>
    </xf>
    <xf numFmtId="0" fontId="39" fillId="51" borderId="10" xfId="0" applyFont="1" applyFill="1" applyBorder="1" applyAlignment="1">
      <alignment vertical="center"/>
    </xf>
    <xf numFmtId="164" fontId="146" fillId="45" borderId="0" xfId="1" applyFont="1" applyFill="1" applyBorder="1" applyAlignment="1" applyProtection="1">
      <alignment vertical="center"/>
      <protection locked="0"/>
    </xf>
    <xf numFmtId="164" fontId="146" fillId="45" borderId="11" xfId="1" applyFont="1" applyFill="1" applyBorder="1" applyAlignment="1" applyProtection="1">
      <alignment vertical="center"/>
      <protection locked="0"/>
    </xf>
    <xf numFmtId="0" fontId="39" fillId="51" borderId="18" xfId="0" applyFont="1" applyFill="1" applyBorder="1" applyAlignment="1">
      <alignment vertical="center"/>
    </xf>
    <xf numFmtId="164" fontId="113" fillId="45" borderId="19" xfId="1" applyFont="1" applyFill="1" applyBorder="1" applyAlignment="1" applyProtection="1">
      <alignment vertical="center"/>
      <protection locked="0"/>
    </xf>
    <xf numFmtId="164" fontId="109" fillId="45" borderId="19" xfId="1" applyFont="1" applyFill="1" applyBorder="1" applyAlignment="1" applyProtection="1">
      <alignment vertical="center"/>
      <protection locked="0"/>
    </xf>
    <xf numFmtId="164" fontId="109" fillId="45" borderId="20" xfId="1" applyFont="1" applyFill="1" applyBorder="1" applyAlignment="1" applyProtection="1">
      <alignment vertical="center"/>
      <protection locked="0"/>
    </xf>
    <xf numFmtId="0" fontId="34" fillId="5" borderId="4" xfId="0" applyFont="1" applyFill="1" applyBorder="1" applyAlignment="1">
      <alignment vertical="center"/>
    </xf>
    <xf numFmtId="165" fontId="1" fillId="2" borderId="4" xfId="0" applyNumberFormat="1" applyFont="1" applyFill="1" applyBorder="1" applyAlignment="1">
      <alignment horizontal="center" vertical="center"/>
    </xf>
    <xf numFmtId="0" fontId="0" fillId="0" borderId="4" xfId="0" applyBorder="1" applyAlignment="1" applyProtection="1">
      <alignment vertical="center"/>
      <protection locked="0"/>
    </xf>
    <xf numFmtId="10" fontId="47" fillId="12" borderId="4" xfId="2" applyNumberFormat="1" applyFont="1" applyFill="1" applyBorder="1" applyAlignment="1" applyProtection="1">
      <alignment vertical="center"/>
      <protection locked="0"/>
    </xf>
    <xf numFmtId="0" fontId="47" fillId="12" borderId="4" xfId="0" applyFont="1" applyFill="1" applyBorder="1" applyAlignment="1" applyProtection="1">
      <alignment vertical="center"/>
      <protection locked="0"/>
    </xf>
    <xf numFmtId="10" fontId="0" fillId="0" borderId="4" xfId="0" applyNumberFormat="1" applyBorder="1" applyAlignment="1">
      <alignment vertical="center"/>
    </xf>
    <xf numFmtId="0" fontId="144" fillId="0" borderId="0" xfId="0" applyFont="1" applyAlignment="1" applyProtection="1">
      <alignment vertical="center"/>
      <protection locked="0"/>
    </xf>
    <xf numFmtId="164" fontId="113" fillId="12" borderId="21" xfId="1" applyFont="1" applyFill="1" applyBorder="1" applyAlignment="1" applyProtection="1">
      <alignment vertical="center"/>
      <protection locked="0"/>
    </xf>
    <xf numFmtId="164" fontId="109" fillId="0" borderId="4" xfId="1" applyFont="1" applyBorder="1" applyAlignment="1" applyProtection="1">
      <alignment vertical="center"/>
      <protection locked="0"/>
    </xf>
    <xf numFmtId="167" fontId="109" fillId="0" borderId="22" xfId="0" applyNumberFormat="1" applyFont="1" applyBorder="1" applyAlignment="1" applyProtection="1">
      <alignment vertical="center"/>
      <protection locked="0"/>
    </xf>
    <xf numFmtId="43" fontId="52" fillId="0" borderId="21" xfId="0" applyNumberFormat="1" applyFont="1" applyBorder="1" applyAlignment="1" applyProtection="1">
      <alignment vertical="center"/>
      <protection locked="0"/>
    </xf>
    <xf numFmtId="43" fontId="52" fillId="0" borderId="4" xfId="0" applyNumberFormat="1" applyFont="1" applyBorder="1" applyAlignment="1" applyProtection="1">
      <alignment vertical="center"/>
      <protection locked="0"/>
    </xf>
    <xf numFmtId="43" fontId="113" fillId="12" borderId="21" xfId="0" applyNumberFormat="1" applyFont="1" applyFill="1" applyBorder="1" applyAlignment="1" applyProtection="1">
      <alignment vertical="center"/>
      <protection locked="0"/>
    </xf>
    <xf numFmtId="164" fontId="109" fillId="0" borderId="24" xfId="1" applyFont="1" applyBorder="1" applyAlignment="1" applyProtection="1">
      <alignment vertical="center"/>
      <protection locked="0"/>
    </xf>
    <xf numFmtId="167" fontId="109" fillId="0" borderId="25" xfId="0" applyNumberFormat="1" applyFont="1" applyBorder="1" applyAlignment="1" applyProtection="1">
      <alignment vertical="center"/>
      <protection locked="0"/>
    </xf>
    <xf numFmtId="43" fontId="52" fillId="0" borderId="23" xfId="0" applyNumberFormat="1" applyFont="1" applyBorder="1" applyAlignment="1" applyProtection="1">
      <alignment vertical="center"/>
      <protection locked="0"/>
    </xf>
    <xf numFmtId="43" fontId="52" fillId="0" borderId="24" xfId="0" applyNumberFormat="1" applyFont="1" applyBorder="1" applyAlignment="1" applyProtection="1">
      <alignment vertical="center"/>
      <protection locked="0"/>
    </xf>
    <xf numFmtId="0" fontId="40" fillId="0" borderId="19" xfId="0" applyFont="1" applyBorder="1" applyAlignment="1" applyProtection="1">
      <alignment vertical="center"/>
      <protection locked="0"/>
    </xf>
    <xf numFmtId="0" fontId="98" fillId="0" borderId="56" xfId="0" applyFont="1" applyBorder="1" applyAlignment="1" applyProtection="1">
      <alignment horizontal="center" vertical="center" wrapText="1"/>
      <protection locked="0"/>
    </xf>
    <xf numFmtId="0" fontId="49" fillId="6" borderId="57" xfId="0" applyFont="1" applyFill="1" applyBorder="1" applyAlignment="1">
      <alignment vertical="center"/>
    </xf>
    <xf numFmtId="0" fontId="49" fillId="13" borderId="57" xfId="0" applyFont="1" applyFill="1" applyBorder="1" applyAlignment="1">
      <alignment vertical="center"/>
    </xf>
    <xf numFmtId="0" fontId="49" fillId="6" borderId="58" xfId="0" applyFont="1" applyFill="1" applyBorder="1" applyAlignment="1">
      <alignment vertical="center"/>
    </xf>
    <xf numFmtId="164" fontId="113" fillId="12" borderId="4" xfId="1" applyFont="1" applyFill="1" applyBorder="1" applyAlignment="1" applyProtection="1">
      <alignment vertical="center"/>
      <protection locked="0"/>
    </xf>
    <xf numFmtId="164" fontId="52" fillId="0" borderId="4" xfId="0" applyNumberFormat="1" applyFont="1" applyBorder="1" applyAlignment="1" applyProtection="1">
      <alignment vertical="center"/>
      <protection locked="0"/>
    </xf>
    <xf numFmtId="0" fontId="39" fillId="5" borderId="13" xfId="0" applyFont="1" applyFill="1" applyBorder="1" applyAlignment="1">
      <alignment vertical="center"/>
    </xf>
    <xf numFmtId="164" fontId="113" fillId="12" borderId="14" xfId="1" applyFont="1" applyFill="1" applyBorder="1" applyAlignment="1" applyProtection="1">
      <alignment vertical="center"/>
      <protection locked="0"/>
    </xf>
    <xf numFmtId="164" fontId="109" fillId="0" borderId="14" xfId="1" applyFont="1" applyBorder="1" applyAlignment="1" applyProtection="1">
      <alignment vertical="center"/>
      <protection locked="0"/>
    </xf>
    <xf numFmtId="164" fontId="113" fillId="12" borderId="15" xfId="1" applyFont="1" applyFill="1" applyBorder="1" applyAlignment="1" applyProtection="1">
      <alignment vertical="center"/>
      <protection locked="0"/>
    </xf>
    <xf numFmtId="0" fontId="39" fillId="0" borderId="0" xfId="0" applyFont="1" applyAlignment="1">
      <alignment vertical="center"/>
    </xf>
    <xf numFmtId="164" fontId="113" fillId="0" borderId="0" xfId="1" applyFont="1" applyBorder="1" applyAlignment="1" applyProtection="1">
      <alignment vertical="center"/>
      <protection locked="0"/>
    </xf>
    <xf numFmtId="164" fontId="109" fillId="0" borderId="0" xfId="1" applyFont="1" applyBorder="1" applyAlignment="1" applyProtection="1">
      <alignment vertical="center"/>
      <protection locked="0"/>
    </xf>
    <xf numFmtId="0" fontId="39" fillId="0" borderId="13" xfId="0" applyFont="1" applyBorder="1" applyAlignment="1">
      <alignment vertical="center"/>
    </xf>
    <xf numFmtId="49" fontId="109" fillId="0" borderId="0" xfId="1" applyNumberFormat="1" applyFont="1" applyBorder="1" applyAlignment="1" applyProtection="1">
      <alignment vertical="center"/>
      <protection locked="0"/>
    </xf>
    <xf numFmtId="0" fontId="39" fillId="0" borderId="18" xfId="0" applyFont="1" applyBorder="1" applyAlignment="1">
      <alignment vertical="center"/>
    </xf>
    <xf numFmtId="164" fontId="113" fillId="0" borderId="19" xfId="1" applyFont="1" applyBorder="1" applyAlignment="1" applyProtection="1">
      <alignment vertical="center"/>
      <protection locked="0"/>
    </xf>
    <xf numFmtId="0" fontId="2" fillId="45" borderId="4" xfId="0" applyFont="1" applyFill="1" applyBorder="1" applyAlignment="1" applyProtection="1">
      <alignment vertical="center"/>
      <protection locked="0"/>
    </xf>
    <xf numFmtId="0" fontId="2" fillId="45" borderId="4" xfId="0" applyFont="1" applyFill="1" applyBorder="1" applyAlignment="1" applyProtection="1">
      <alignment horizontal="center" vertical="center"/>
      <protection locked="0"/>
    </xf>
    <xf numFmtId="0" fontId="65" fillId="45" borderId="4" xfId="0" applyFont="1" applyFill="1" applyBorder="1" applyAlignment="1" applyProtection="1">
      <alignment horizontal="center" vertical="center"/>
      <protection locked="0"/>
    </xf>
    <xf numFmtId="164" fontId="90" fillId="45" borderId="4" xfId="1" applyFont="1" applyFill="1" applyBorder="1" applyAlignment="1" applyProtection="1">
      <alignment vertical="center"/>
      <protection locked="0" hidden="1"/>
    </xf>
    <xf numFmtId="164" fontId="56" fillId="45" borderId="31" xfId="1" applyFont="1" applyFill="1" applyBorder="1" applyAlignment="1" applyProtection="1">
      <alignment vertical="center"/>
    </xf>
    <xf numFmtId="164" fontId="43" fillId="45" borderId="0" xfId="1" applyFont="1" applyFill="1" applyBorder="1" applyAlignment="1" applyProtection="1">
      <alignment vertical="center"/>
    </xf>
    <xf numFmtId="0" fontId="1" fillId="52" borderId="10" xfId="0" applyFont="1" applyFill="1" applyBorder="1" applyAlignment="1">
      <alignment vertical="center"/>
    </xf>
    <xf numFmtId="0" fontId="1" fillId="52" borderId="0" xfId="0" applyFont="1" applyFill="1" applyAlignment="1">
      <alignment horizontal="center" vertical="center"/>
    </xf>
    <xf numFmtId="0" fontId="2" fillId="52" borderId="0" xfId="0" applyFont="1" applyFill="1" applyAlignment="1">
      <alignment horizontal="center" vertical="center"/>
    </xf>
    <xf numFmtId="164" fontId="1" fillId="52" borderId="0" xfId="1" applyFont="1" applyFill="1" applyBorder="1" applyAlignment="1" applyProtection="1">
      <alignment vertical="center"/>
    </xf>
    <xf numFmtId="164" fontId="17" fillId="45" borderId="31" xfId="1" applyFont="1" applyFill="1" applyBorder="1" applyAlignment="1" applyProtection="1">
      <alignment vertical="center"/>
    </xf>
    <xf numFmtId="0" fontId="0" fillId="53" borderId="0" xfId="0" applyFill="1"/>
    <xf numFmtId="14" fontId="47" fillId="53" borderId="0" xfId="0" applyNumberFormat="1" applyFont="1" applyFill="1" applyAlignment="1" applyProtection="1">
      <alignment horizontal="center"/>
      <protection locked="0"/>
    </xf>
    <xf numFmtId="0" fontId="0" fillId="53" borderId="0" xfId="0" applyFill="1" applyProtection="1">
      <protection locked="0"/>
    </xf>
    <xf numFmtId="164" fontId="137" fillId="0" borderId="4" xfId="1" applyFont="1" applyBorder="1" applyProtection="1">
      <protection locked="0"/>
    </xf>
    <xf numFmtId="0" fontId="2" fillId="54" borderId="10" xfId="0" applyFont="1" applyFill="1" applyBorder="1" applyAlignment="1">
      <alignment vertical="center"/>
    </xf>
    <xf numFmtId="0" fontId="2" fillId="54" borderId="0" xfId="0" applyFont="1" applyFill="1" applyAlignment="1">
      <alignment horizontal="center" vertical="center"/>
    </xf>
    <xf numFmtId="164" fontId="2" fillId="54" borderId="0" xfId="1" applyFont="1" applyFill="1" applyBorder="1" applyAlignment="1" applyProtection="1">
      <alignment vertical="center"/>
    </xf>
    <xf numFmtId="164" fontId="0" fillId="48" borderId="31" xfId="1" applyFont="1" applyFill="1" applyBorder="1" applyAlignment="1" applyProtection="1">
      <alignment vertical="center"/>
    </xf>
    <xf numFmtId="164" fontId="0" fillId="48" borderId="0" xfId="1" applyFont="1" applyFill="1" applyBorder="1" applyAlignment="1" applyProtection="1">
      <alignment vertical="center"/>
    </xf>
    <xf numFmtId="164" fontId="52" fillId="48" borderId="0" xfId="0" applyNumberFormat="1" applyFont="1" applyFill="1" applyAlignment="1" applyProtection="1">
      <alignment vertical="center"/>
      <protection locked="0"/>
    </xf>
    <xf numFmtId="164" fontId="33" fillId="13" borderId="0" xfId="1" applyFont="1" applyFill="1" applyBorder="1" applyAlignment="1" applyProtection="1">
      <alignment vertical="center"/>
    </xf>
    <xf numFmtId="43" fontId="111" fillId="0" borderId="0" xfId="0" applyNumberFormat="1" applyFont="1" applyAlignment="1" applyProtection="1">
      <alignment vertical="center"/>
      <protection locked="0"/>
    </xf>
    <xf numFmtId="0" fontId="18" fillId="53" borderId="13" xfId="0" applyFont="1" applyFill="1" applyBorder="1" applyAlignment="1">
      <alignment vertical="center"/>
    </xf>
    <xf numFmtId="0" fontId="18" fillId="53" borderId="14" xfId="0" applyFont="1" applyFill="1" applyBorder="1" applyAlignment="1">
      <alignment horizontal="center" vertical="center"/>
    </xf>
    <xf numFmtId="0" fontId="19" fillId="53" borderId="14" xfId="0" applyFont="1" applyFill="1" applyBorder="1" applyAlignment="1">
      <alignment horizontal="center" vertical="center"/>
    </xf>
    <xf numFmtId="164" fontId="19" fillId="53" borderId="14" xfId="1" applyFont="1" applyFill="1" applyBorder="1" applyAlignment="1" applyProtection="1">
      <alignment vertical="center"/>
    </xf>
    <xf numFmtId="164" fontId="20" fillId="53" borderId="31" xfId="0" applyNumberFormat="1" applyFont="1" applyFill="1" applyBorder="1" applyAlignment="1">
      <alignment vertical="center"/>
    </xf>
    <xf numFmtId="164" fontId="20" fillId="53" borderId="0" xfId="0" applyNumberFormat="1" applyFont="1" applyFill="1" applyAlignment="1" applyProtection="1">
      <alignment vertical="center"/>
      <protection locked="0" hidden="1"/>
    </xf>
    <xf numFmtId="0" fontId="39" fillId="53" borderId="0" xfId="0" applyFont="1" applyFill="1" applyAlignment="1" applyProtection="1">
      <alignment vertical="center"/>
      <protection locked="0"/>
    </xf>
    <xf numFmtId="164" fontId="39" fillId="53" borderId="0" xfId="1" applyFont="1" applyFill="1" applyProtection="1">
      <protection hidden="1"/>
    </xf>
    <xf numFmtId="164" fontId="111" fillId="53" borderId="0" xfId="0" applyNumberFormat="1" applyFont="1" applyFill="1" applyAlignment="1" applyProtection="1">
      <alignment vertical="center"/>
      <protection locked="0"/>
    </xf>
    <xf numFmtId="0" fontId="111" fillId="53" borderId="0" xfId="0" applyFont="1" applyFill="1" applyAlignment="1" applyProtection="1">
      <alignment horizontal="left" vertical="center"/>
      <protection hidden="1"/>
    </xf>
    <xf numFmtId="0" fontId="52" fillId="53" borderId="0" xfId="0" applyFont="1" applyFill="1" applyAlignment="1" applyProtection="1">
      <alignment horizontal="left" vertical="center"/>
      <protection hidden="1"/>
    </xf>
    <xf numFmtId="0" fontId="0" fillId="53" borderId="0" xfId="0" applyFill="1" applyAlignment="1" applyProtection="1">
      <alignment vertical="center"/>
      <protection locked="0"/>
    </xf>
    <xf numFmtId="0" fontId="6" fillId="55" borderId="16" xfId="0" applyFont="1" applyFill="1" applyBorder="1" applyAlignment="1">
      <alignment horizontal="right" vertical="center"/>
    </xf>
    <xf numFmtId="0" fontId="6" fillId="55" borderId="17" xfId="0" applyFont="1" applyFill="1" applyBorder="1" applyAlignment="1">
      <alignment horizontal="center" vertical="center"/>
    </xf>
    <xf numFmtId="0" fontId="1" fillId="55" borderId="17" xfId="0" applyFont="1" applyFill="1" applyBorder="1" applyAlignment="1">
      <alignment horizontal="center" vertical="center"/>
    </xf>
    <xf numFmtId="164" fontId="1" fillId="55" borderId="17" xfId="1" applyFont="1" applyFill="1" applyBorder="1" applyAlignment="1" applyProtection="1">
      <alignment vertical="center"/>
    </xf>
    <xf numFmtId="0" fontId="6" fillId="55" borderId="18" xfId="0" applyFont="1" applyFill="1" applyBorder="1" applyAlignment="1">
      <alignment horizontal="right" vertical="center"/>
    </xf>
    <xf numFmtId="0" fontId="6" fillId="55" borderId="19" xfId="0" applyFont="1" applyFill="1" applyBorder="1" applyAlignment="1">
      <alignment horizontal="center" vertical="center"/>
    </xf>
    <xf numFmtId="0" fontId="1" fillId="55" borderId="19" xfId="0" applyFont="1" applyFill="1" applyBorder="1" applyAlignment="1">
      <alignment horizontal="center" vertical="center"/>
    </xf>
    <xf numFmtId="164" fontId="1" fillId="55" borderId="19" xfId="1" applyFont="1" applyFill="1" applyBorder="1" applyAlignment="1" applyProtection="1">
      <alignment vertical="center"/>
    </xf>
    <xf numFmtId="164" fontId="47" fillId="12" borderId="0" xfId="1" applyFont="1" applyFill="1" applyProtection="1">
      <protection locked="0"/>
    </xf>
    <xf numFmtId="0" fontId="34" fillId="0" borderId="0" xfId="0" applyFont="1" applyAlignment="1" applyProtection="1">
      <alignment vertical="center"/>
      <protection hidden="1"/>
    </xf>
    <xf numFmtId="164" fontId="34" fillId="0" borderId="0" xfId="1" applyFont="1" applyProtection="1">
      <protection hidden="1"/>
    </xf>
    <xf numFmtId="164" fontId="109" fillId="0" borderId="21" xfId="1" applyFont="1" applyBorder="1" applyAlignment="1" applyProtection="1">
      <alignment vertical="center"/>
      <protection locked="0"/>
    </xf>
    <xf numFmtId="164" fontId="109" fillId="0" borderId="23" xfId="1" applyFont="1" applyBorder="1" applyAlignment="1" applyProtection="1">
      <alignment vertical="center"/>
      <protection locked="0"/>
    </xf>
    <xf numFmtId="43" fontId="109" fillId="0" borderId="21" xfId="0" applyNumberFormat="1" applyFont="1" applyBorder="1" applyAlignment="1" applyProtection="1">
      <alignment vertical="center"/>
      <protection locked="0"/>
    </xf>
    <xf numFmtId="43" fontId="109" fillId="0" borderId="4" xfId="0" applyNumberFormat="1" applyFont="1" applyBorder="1" applyAlignment="1" applyProtection="1">
      <alignment vertical="center"/>
      <protection locked="0"/>
    </xf>
    <xf numFmtId="0" fontId="34" fillId="0" borderId="61" xfId="0" applyFont="1" applyBorder="1" applyAlignment="1">
      <alignment horizontal="center" vertical="center"/>
    </xf>
    <xf numFmtId="0" fontId="34" fillId="0" borderId="64" xfId="0" applyFont="1" applyBorder="1" applyAlignment="1">
      <alignment horizontal="center" vertical="center"/>
    </xf>
    <xf numFmtId="0" fontId="34" fillId="0" borderId="62" xfId="0" applyFont="1" applyBorder="1" applyAlignment="1">
      <alignment horizontal="center" vertical="center"/>
    </xf>
    <xf numFmtId="43" fontId="113" fillId="12" borderId="4" xfId="0" applyNumberFormat="1" applyFont="1" applyFill="1" applyBorder="1" applyAlignment="1" applyProtection="1">
      <alignment vertical="center"/>
      <protection locked="0"/>
    </xf>
    <xf numFmtId="43" fontId="113" fillId="12" borderId="23" xfId="0" applyNumberFormat="1" applyFont="1" applyFill="1" applyBorder="1" applyAlignment="1" applyProtection="1">
      <alignment vertical="center"/>
      <protection locked="0"/>
    </xf>
    <xf numFmtId="43" fontId="113" fillId="12" borderId="24" xfId="0" applyNumberFormat="1" applyFont="1" applyFill="1" applyBorder="1" applyAlignment="1" applyProtection="1">
      <alignment vertical="center"/>
      <protection locked="0"/>
    </xf>
    <xf numFmtId="0" fontId="47" fillId="0" borderId="0" xfId="0" applyFont="1" applyAlignment="1" applyProtection="1">
      <alignment vertical="center"/>
      <protection locked="0"/>
    </xf>
    <xf numFmtId="0" fontId="47" fillId="12" borderId="0" xfId="0" applyFont="1" applyFill="1" applyAlignment="1" applyProtection="1">
      <alignment vertical="center"/>
      <protection locked="0"/>
    </xf>
    <xf numFmtId="0" fontId="72" fillId="0" borderId="4" xfId="0" applyFont="1" applyBorder="1" applyAlignment="1" applyProtection="1">
      <alignment vertical="center"/>
      <protection locked="0"/>
    </xf>
    <xf numFmtId="164" fontId="113" fillId="12" borderId="4" xfId="0" applyNumberFormat="1" applyFont="1" applyFill="1" applyBorder="1" applyAlignment="1" applyProtection="1">
      <alignment vertical="center"/>
      <protection locked="0"/>
    </xf>
    <xf numFmtId="0" fontId="144" fillId="29" borderId="28" xfId="0" applyFont="1" applyFill="1" applyBorder="1" applyAlignment="1">
      <alignment horizontal="center" vertical="center"/>
    </xf>
    <xf numFmtId="0" fontId="144" fillId="29" borderId="29" xfId="0" applyFont="1" applyFill="1" applyBorder="1" applyAlignment="1">
      <alignment horizontal="center" vertical="center"/>
    </xf>
    <xf numFmtId="0" fontId="144" fillId="29" borderId="30" xfId="0" applyFont="1" applyFill="1" applyBorder="1" applyAlignment="1">
      <alignment horizontal="center" vertical="center"/>
    </xf>
    <xf numFmtId="0" fontId="145" fillId="0" borderId="0" xfId="0" applyFont="1" applyAlignment="1" applyProtection="1">
      <alignment horizontal="center" vertical="center" wrapText="1"/>
      <protection hidden="1"/>
    </xf>
    <xf numFmtId="0" fontId="1" fillId="0" borderId="0" xfId="0" applyFont="1" applyAlignment="1" applyProtection="1">
      <alignment horizontal="center" vertical="center"/>
      <protection locked="0"/>
    </xf>
    <xf numFmtId="0" fontId="32" fillId="22" borderId="43" xfId="0" applyFont="1" applyFill="1" applyBorder="1" applyAlignment="1" applyProtection="1">
      <alignment horizontal="left" vertical="center" wrapText="1"/>
      <protection locked="0"/>
    </xf>
    <xf numFmtId="0" fontId="32" fillId="22" borderId="44" xfId="0" applyFont="1" applyFill="1" applyBorder="1" applyAlignment="1" applyProtection="1">
      <alignment horizontal="left" vertical="center" wrapText="1"/>
      <protection locked="0"/>
    </xf>
    <xf numFmtId="0" fontId="32" fillId="22" borderId="5" xfId="0" applyFont="1" applyFill="1" applyBorder="1" applyAlignment="1" applyProtection="1">
      <alignment horizontal="left" vertical="center" wrapText="1"/>
      <protection locked="0"/>
    </xf>
    <xf numFmtId="0" fontId="32" fillId="22" borderId="45" xfId="0" applyFont="1" applyFill="1" applyBorder="1" applyAlignment="1" applyProtection="1">
      <alignment horizontal="left" vertical="center" wrapText="1"/>
      <protection locked="0"/>
    </xf>
    <xf numFmtId="0" fontId="32" fillId="22" borderId="0" xfId="0" applyFont="1" applyFill="1" applyAlignment="1" applyProtection="1">
      <alignment horizontal="left" vertical="center" wrapText="1"/>
      <protection locked="0"/>
    </xf>
    <xf numFmtId="0" fontId="32" fillId="22" borderId="46" xfId="0" applyFont="1" applyFill="1" applyBorder="1" applyAlignment="1" applyProtection="1">
      <alignment horizontal="left" vertical="center" wrapText="1"/>
      <protection locked="0"/>
    </xf>
    <xf numFmtId="0" fontId="32" fillId="22" borderId="47" xfId="0" applyFont="1" applyFill="1" applyBorder="1" applyAlignment="1" applyProtection="1">
      <alignment horizontal="left" vertical="center" wrapText="1"/>
      <protection locked="0"/>
    </xf>
    <xf numFmtId="0" fontId="32" fillId="22" borderId="48" xfId="0" applyFont="1" applyFill="1" applyBorder="1" applyAlignment="1" applyProtection="1">
      <alignment horizontal="left" vertical="center" wrapText="1"/>
      <protection locked="0"/>
    </xf>
    <xf numFmtId="0" fontId="32" fillId="22" borderId="1" xfId="0" applyFont="1" applyFill="1" applyBorder="1" applyAlignment="1" applyProtection="1">
      <alignment horizontal="left" vertical="center" wrapText="1"/>
      <protection locked="0"/>
    </xf>
    <xf numFmtId="0" fontId="0" fillId="22" borderId="44" xfId="0" applyFill="1" applyBorder="1" applyAlignment="1" applyProtection="1">
      <alignment horizontal="left" vertical="center" wrapText="1"/>
      <protection locked="0"/>
    </xf>
    <xf numFmtId="0" fontId="0" fillId="22" borderId="5" xfId="0" applyFill="1" applyBorder="1" applyAlignment="1" applyProtection="1">
      <alignment horizontal="left" vertical="center" wrapText="1"/>
      <protection locked="0"/>
    </xf>
    <xf numFmtId="0" fontId="0" fillId="22" borderId="45" xfId="0" applyFill="1" applyBorder="1" applyAlignment="1" applyProtection="1">
      <alignment horizontal="left" vertical="center" wrapText="1"/>
      <protection locked="0"/>
    </xf>
    <xf numFmtId="0" fontId="0" fillId="22" borderId="0" xfId="0" applyFill="1" applyAlignment="1" applyProtection="1">
      <alignment horizontal="left" vertical="center" wrapText="1"/>
      <protection locked="0"/>
    </xf>
    <xf numFmtId="0" fontId="0" fillId="22" borderId="46" xfId="0" applyFill="1" applyBorder="1" applyAlignment="1" applyProtection="1">
      <alignment horizontal="left" vertical="center" wrapText="1"/>
      <protection locked="0"/>
    </xf>
    <xf numFmtId="0" fontId="0" fillId="22" borderId="47" xfId="0" applyFill="1" applyBorder="1" applyAlignment="1" applyProtection="1">
      <alignment horizontal="left" vertical="center" wrapText="1"/>
      <protection locked="0"/>
    </xf>
    <xf numFmtId="0" fontId="0" fillId="22" borderId="48" xfId="0" applyFill="1" applyBorder="1" applyAlignment="1" applyProtection="1">
      <alignment horizontal="left" vertical="center" wrapText="1"/>
      <protection locked="0"/>
    </xf>
    <xf numFmtId="0" fontId="0" fillId="22" borderId="1" xfId="0" applyFill="1" applyBorder="1" applyAlignment="1" applyProtection="1">
      <alignment horizontal="left" vertical="center" wrapText="1"/>
      <protection locked="0"/>
    </xf>
    <xf numFmtId="164" fontId="43" fillId="0" borderId="49" xfId="1" applyFont="1" applyBorder="1" applyAlignment="1" applyProtection="1">
      <alignment horizontal="center" vertical="center"/>
    </xf>
    <xf numFmtId="164" fontId="43" fillId="0" borderId="3" xfId="1" applyFont="1" applyBorder="1" applyAlignment="1" applyProtection="1">
      <alignment horizontal="center" vertical="center"/>
    </xf>
    <xf numFmtId="0" fontId="111" fillId="0" borderId="0" xfId="0" applyFont="1" applyAlignment="1">
      <alignment horizontal="center" vertical="center" wrapText="1"/>
    </xf>
  </cellXfs>
  <cellStyles count="3">
    <cellStyle name="Millares" xfId="1" builtinId="3"/>
    <cellStyle name="Normal" xfId="0" builtinId="0"/>
    <cellStyle name="Porcentaje" xfId="2" builtinId="5"/>
  </cellStyles>
  <dxfs count="38">
    <dxf>
      <font>
        <color rgb="FFFF0000"/>
      </font>
    </dxf>
    <dxf>
      <fill>
        <patternFill>
          <bgColor theme="6" tint="0.39994506668294322"/>
        </patternFill>
      </fill>
    </dxf>
    <dxf>
      <fill>
        <patternFill>
          <bgColor theme="6" tint="0.39994506668294322"/>
        </patternFill>
      </fill>
    </dxf>
    <dxf>
      <fill>
        <patternFill>
          <bgColor rgb="FFFFFF00"/>
        </patternFill>
      </fill>
    </dxf>
    <dxf>
      <fill>
        <patternFill>
          <bgColor rgb="FF232629"/>
        </patternFill>
      </fill>
    </dxf>
    <dxf>
      <fill>
        <patternFill patternType="solid">
          <fgColor indexed="64"/>
          <bgColor theme="0" tint="-0.14999847407452621"/>
        </patternFill>
      </fill>
      <border diagonalUp="0" diagonalDown="0">
        <left style="thin">
          <color auto="1"/>
        </left>
        <right style="thin">
          <color indexed="64"/>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ill>
        <patternFill patternType="solid">
          <fgColor indexed="64"/>
          <bgColor theme="0" tint="-0.14999847407452621"/>
        </patternFill>
      </fill>
      <border diagonalUp="0" diagonalDown="0">
        <left style="thin">
          <color indexed="64"/>
        </left>
        <right style="thin">
          <color auto="1"/>
        </right>
        <top style="thin">
          <color indexed="64"/>
        </top>
        <bottom style="thin">
          <color indexed="64"/>
        </bottom>
      </border>
      <protection locked="0" hidden="0"/>
    </dxf>
    <dxf>
      <border diagonalUp="0" diagonalDown="0">
        <left style="thin">
          <color indexed="64"/>
        </left>
        <right style="thin">
          <color auto="1"/>
        </right>
        <top style="thin">
          <color indexed="64"/>
        </top>
        <bottom style="thin">
          <color indexed="64"/>
        </bottom>
      </border>
      <protection locked="1" hidden="0"/>
    </dxf>
    <dxf>
      <protection locked="0" hidden="0"/>
    </dxf>
    <dxf>
      <border>
        <bottom style="medium">
          <color indexed="64"/>
        </bottom>
      </border>
    </dxf>
    <dxf>
      <alignment vertical="center" textRotation="0" wrapText="0" indent="0" justifyLastLine="0" shrinkToFit="0" readingOrder="0"/>
      <border diagonalUp="0" diagonalDown="0">
        <left style="hair">
          <color auto="1"/>
        </left>
        <right style="hair">
          <color auto="1"/>
        </right>
        <top/>
        <bottom/>
        <vertical style="hair">
          <color auto="1"/>
        </vertical>
        <horizontal/>
      </border>
      <protection locked="1" hidden="0"/>
    </dxf>
    <dxf>
      <font>
        <strike val="0"/>
        <outline val="0"/>
        <shadow val="0"/>
        <u val="none"/>
        <vertAlign val="baseline"/>
        <sz val="9"/>
        <name val="Arial"/>
        <family val="2"/>
        <charset val="1"/>
        <scheme val="none"/>
      </font>
      <border diagonalUp="0" diagonalDown="0">
        <left style="thin">
          <color auto="1"/>
        </left>
        <right style="thin">
          <color auto="1"/>
        </right>
        <top style="thin">
          <color auto="1"/>
        </top>
        <bottom style="thin">
          <color auto="1"/>
        </bottom>
        <vertical/>
        <horizontal/>
      </border>
      <protection locked="1"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left style="thin">
          <color auto="1"/>
        </left>
        <right style="thin">
          <color auto="1"/>
        </right>
        <top style="thin">
          <color indexed="64"/>
        </top>
        <bottom style="thin">
          <color indexed="64"/>
        </bottom>
      </border>
      <protection locked="0" hidden="0"/>
    </dxf>
    <dxf>
      <font>
        <strike val="0"/>
        <outline val="0"/>
        <shadow val="0"/>
        <u val="none"/>
        <vertAlign val="baseline"/>
        <sz val="9"/>
        <name val="Arial"/>
        <family val="2"/>
        <charset val="1"/>
        <scheme val="none"/>
      </font>
      <fill>
        <patternFill patternType="solid">
          <fgColor indexed="64"/>
          <bgColor theme="0" tint="-0.14999847407452621"/>
        </patternFill>
      </fill>
      <border diagonalUp="0" diagonalDown="0" outline="0">
        <left style="thin">
          <color auto="1"/>
        </left>
        <right style="thin">
          <color auto="1"/>
        </right>
        <top style="thin">
          <color indexed="64"/>
        </top>
        <bottom style="thin">
          <color indexed="64"/>
        </bottom>
      </border>
      <protection locked="0" hidden="0"/>
    </dxf>
    <dxf>
      <font>
        <strike val="0"/>
        <outline val="0"/>
        <shadow val="0"/>
        <u val="none"/>
        <vertAlign val="baseline"/>
        <sz val="9"/>
        <color rgb="FF000000"/>
        <name val="Arial"/>
        <family val="2"/>
        <charset val="1"/>
        <scheme val="none"/>
      </font>
      <border diagonalUp="0" diagonalDown="0" outline="0">
        <left style="thin">
          <color indexed="64"/>
        </left>
        <right style="thin">
          <color auto="1"/>
        </right>
        <top style="thin">
          <color indexed="64"/>
        </top>
        <bottom style="thin">
          <color indexed="64"/>
        </bottom>
      </border>
      <protection locked="0" hidden="0"/>
    </dxf>
    <dxf>
      <protection locked="0" hidden="0"/>
    </dxf>
    <dxf>
      <border>
        <bottom style="medium">
          <color indexed="64"/>
        </bottom>
      </border>
    </dxf>
    <dxf>
      <alignment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s>
  <tableStyles count="0" defaultTableStyle="TableStyleMedium9" defaultPivotStyle="PivotStyleLight16"/>
  <colors>
    <indexedColors>
      <rgbColor rgb="FF000000"/>
      <rgbColor rgb="FFFFFFE5"/>
      <rgbColor rgb="FFFF0000"/>
      <rgbColor rgb="FF00FF00"/>
      <rgbColor rgb="FF0000FF"/>
      <rgbColor rgb="FFFFFF00"/>
      <rgbColor rgb="FFFF00FF"/>
      <rgbColor rgb="FF00FFFF"/>
      <rgbColor rgb="FF800000"/>
      <rgbColor rgb="FF008000"/>
      <rgbColor rgb="FF000080"/>
      <rgbColor rgb="FF808000"/>
      <rgbColor rgb="FF8500A4"/>
      <rgbColor rgb="FF008080"/>
      <rgbColor rgb="FFC0C0C0"/>
      <rgbColor rgb="FF808080"/>
      <rgbColor rgb="FFE98BFF"/>
      <rgbColor rgb="FF7030A0"/>
      <rgbColor rgb="FFFFFFCC"/>
      <rgbColor rgb="FFDBEEF4"/>
      <rgbColor rgb="FF660066"/>
      <rgbColor rgb="FFFF8F8F"/>
      <rgbColor rgb="FF0066CC"/>
      <rgbColor rgb="FFD9D9D9"/>
      <rgbColor rgb="FF000080"/>
      <rgbColor rgb="FFFF00FF"/>
      <rgbColor rgb="FFFFFF00"/>
      <rgbColor rgb="FF00FFFF"/>
      <rgbColor rgb="FF800080"/>
      <rgbColor rgb="FF800000"/>
      <rgbColor rgb="FF008080"/>
      <rgbColor rgb="FF0000CC"/>
      <rgbColor rgb="FF00CCFF"/>
      <rgbColor rgb="FFF0F7FA"/>
      <rgbColor rgb="FFD7E4BD"/>
      <rgbColor rgb="FFDCE6F2"/>
      <rgbColor rgb="FFB7DEE8"/>
      <rgbColor rgb="FFFD958D"/>
      <rgbColor rgb="FFEB97FF"/>
      <rgbColor rgb="FFFAC090"/>
      <rgbColor rgb="FF3366FF"/>
      <rgbColor rgb="FF33CCCC"/>
      <rgbColor rgb="FFC3D69B"/>
      <rgbColor rgb="FFFEBAAC"/>
      <rgbColor rgb="FFFF9900"/>
      <rgbColor rgb="FFFF6600"/>
      <rgbColor rgb="FF666699"/>
      <rgbColor rgb="FFA6A6A6"/>
      <rgbColor rgb="FF003366"/>
      <rgbColor rgb="FF339966"/>
      <rgbColor rgb="FF141312"/>
      <rgbColor rgb="FF232629"/>
      <rgbColor rgb="FF993300"/>
      <rgbColor rgb="FF993366"/>
      <rgbColor rgb="FF333399"/>
      <rgbColor rgb="FF403152"/>
      <rgbColor rgb="00003366"/>
      <rgbColor rgb="00339966"/>
      <rgbColor rgb="00003300"/>
      <rgbColor rgb="00333300"/>
      <rgbColor rgb="00993300"/>
      <rgbColor rgb="00993366"/>
      <rgbColor rgb="00333399"/>
      <rgbColor rgb="00333333"/>
    </indexedColors>
    <mruColors>
      <color rgb="FF0000FF"/>
      <color rgb="FFE3DE00"/>
      <color rgb="FFFFFFC9"/>
      <color rgb="FFFFFED1"/>
      <color rgb="FFF9C9FB"/>
      <color rgb="FFC5B9D5"/>
      <color rgb="FFFF9B9B"/>
      <color rgb="FFF5F7A9"/>
      <color rgb="FF7B7B7B"/>
      <color rgb="FFF8C5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495300</xdr:colOff>
      <xdr:row>15</xdr:row>
      <xdr:rowOff>114300</xdr:rowOff>
    </xdr:from>
    <xdr:to>
      <xdr:col>6</xdr:col>
      <xdr:colOff>754380</xdr:colOff>
      <xdr:row>15</xdr:row>
      <xdr:rowOff>114300</xdr:rowOff>
    </xdr:to>
    <xdr:cxnSp macro="">
      <xdr:nvCxnSpPr>
        <xdr:cNvPr id="3" name="Conector recto de flecha 2">
          <a:extLst>
            <a:ext uri="{FF2B5EF4-FFF2-40B4-BE49-F238E27FC236}">
              <a16:creationId xmlns:a16="http://schemas.microsoft.com/office/drawing/2014/main" id="{F276FEA2-9BB6-4FA7-8E5E-00F322251E79}"/>
            </a:ext>
          </a:extLst>
        </xdr:cNvPr>
        <xdr:cNvCxnSpPr/>
      </xdr:nvCxnSpPr>
      <xdr:spPr>
        <a:xfrm>
          <a:off x="8023860" y="2644140"/>
          <a:ext cx="259080" cy="0"/>
        </a:xfrm>
        <a:prstGeom prst="straightConnector1">
          <a:avLst/>
        </a:prstGeom>
        <a:ln w="1905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15240</xdr:colOff>
      <xdr:row>306</xdr:row>
      <xdr:rowOff>91440</xdr:rowOff>
    </xdr:from>
    <xdr:to>
      <xdr:col>19</xdr:col>
      <xdr:colOff>373380</xdr:colOff>
      <xdr:row>306</xdr:row>
      <xdr:rowOff>99060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19156680" y="26220420"/>
          <a:ext cx="358140" cy="762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19</xdr:col>
      <xdr:colOff>365760</xdr:colOff>
      <xdr:row>302</xdr:row>
      <xdr:rowOff>60960</xdr:rowOff>
    </xdr:from>
    <xdr:to>
      <xdr:col>19</xdr:col>
      <xdr:colOff>457200</xdr:colOff>
      <xdr:row>306</xdr:row>
      <xdr:rowOff>83820</xdr:rowOff>
    </xdr:to>
    <xdr:cxnSp macro="">
      <xdr:nvCxnSpPr>
        <xdr:cNvPr id="9" name="8 Conector recto de flecha">
          <a:extLst>
            <a:ext uri="{FF2B5EF4-FFF2-40B4-BE49-F238E27FC236}">
              <a16:creationId xmlns:a16="http://schemas.microsoft.com/office/drawing/2014/main" id="{00000000-0008-0000-0100-000009000000}"/>
            </a:ext>
          </a:extLst>
        </xdr:cNvPr>
        <xdr:cNvCxnSpPr/>
      </xdr:nvCxnSpPr>
      <xdr:spPr>
        <a:xfrm flipV="1">
          <a:off x="19507200" y="25610820"/>
          <a:ext cx="91440" cy="601980"/>
        </a:xfrm>
        <a:prstGeom prst="straightConnector1">
          <a:avLst/>
        </a:prstGeom>
        <a:ln>
          <a:tailEnd type="arrow"/>
        </a:ln>
      </xdr:spPr>
      <xdr:style>
        <a:lnRef idx="1">
          <a:schemeClr val="accent3"/>
        </a:lnRef>
        <a:fillRef idx="0">
          <a:schemeClr val="accent3"/>
        </a:fillRef>
        <a:effectRef idx="0">
          <a:schemeClr val="accent3"/>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C1:P21" totalsRowShown="0" headerRowDxfId="37" dataDxfId="35" headerRowBorderDxfId="36">
  <tableColumns count="14">
    <tableColumn id="1" xr3:uid="{00000000-0010-0000-0000-000001000000}" name="Deducciones Generales" dataDxfId="34"/>
    <tableColumn id="2" xr3:uid="{00000000-0010-0000-0000-000002000000}" name="Enero" dataDxfId="33"/>
    <tableColumn id="3" xr3:uid="{00000000-0010-0000-0000-000003000000}" name="Febrero" dataDxfId="32"/>
    <tableColumn id="4" xr3:uid="{00000000-0010-0000-0000-000004000000}" name="Marzo" dataDxfId="31"/>
    <tableColumn id="5" xr3:uid="{00000000-0010-0000-0000-000005000000}" name="Abril" dataDxfId="30"/>
    <tableColumn id="6" xr3:uid="{00000000-0010-0000-0000-000006000000}" name="Mayo" dataDxfId="29"/>
    <tableColumn id="7" xr3:uid="{00000000-0010-0000-0000-000007000000}" name="Junio" dataDxfId="28"/>
    <tableColumn id="8" xr3:uid="{00000000-0010-0000-0000-000008000000}" name="Julio" dataDxfId="27"/>
    <tableColumn id="9" xr3:uid="{00000000-0010-0000-0000-000009000000}" name="Agosto" dataDxfId="26"/>
    <tableColumn id="10" xr3:uid="{00000000-0010-0000-0000-00000A000000}" name="Septiembre" dataDxfId="25"/>
    <tableColumn id="11" xr3:uid="{00000000-0010-0000-0000-00000B000000}" name="Octubre" dataDxfId="24"/>
    <tableColumn id="12" xr3:uid="{00000000-0010-0000-0000-00000C000000}" name="Noviembre" dataDxfId="23"/>
    <tableColumn id="13" xr3:uid="{00000000-0010-0000-0000-00000D000000}" name="Diciembre" dataDxfId="22"/>
    <tableColumn id="14" xr3:uid="{00000000-0010-0000-0000-00000E000000}" name="Total" dataDxfId="21" dataCellStyle="Millares">
      <calculatedColumnFormula>+SUM($D2:$O2)</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25:O30" totalsRowShown="0" headerRowDxfId="20" dataDxfId="18" headerRowBorderDxfId="19">
  <tableColumns count="13">
    <tableColumn id="1" xr3:uid="{00000000-0010-0000-0100-000001000000}" name="Deducciones Personales. Cargas de Familia." dataDxfId="17"/>
    <tableColumn id="2" xr3:uid="{00000000-0010-0000-0100-000002000000}" name="Enero" dataDxfId="16"/>
    <tableColumn id="3" xr3:uid="{00000000-0010-0000-0100-000003000000}" name="Febrero" dataDxfId="15"/>
    <tableColumn id="4" xr3:uid="{00000000-0010-0000-0100-000004000000}" name="Marzo" dataDxfId="14"/>
    <tableColumn id="5" xr3:uid="{00000000-0010-0000-0100-000005000000}" name="Abril" dataDxfId="13"/>
    <tableColumn id="6" xr3:uid="{00000000-0010-0000-0100-000006000000}" name="Mayo" dataDxfId="12"/>
    <tableColumn id="7" xr3:uid="{00000000-0010-0000-0100-000007000000}" name="Junio" dataDxfId="11"/>
    <tableColumn id="8" xr3:uid="{00000000-0010-0000-0100-000008000000}" name="Julio" dataDxfId="10"/>
    <tableColumn id="9" xr3:uid="{00000000-0010-0000-0100-000009000000}" name="Agosto" dataDxfId="9"/>
    <tableColumn id="10" xr3:uid="{00000000-0010-0000-0100-00000A000000}" name="Septiembre" dataDxfId="8"/>
    <tableColumn id="11" xr3:uid="{00000000-0010-0000-0100-00000B000000}" name="Octubre" dataDxfId="7"/>
    <tableColumn id="12" xr3:uid="{00000000-0010-0000-0100-00000C000000}" name="Noviembre" dataDxfId="6"/>
    <tableColumn id="13" xr3:uid="{00000000-0010-0000-0100-00000D000000}" name="Diciembre" dataDxfId="5"/>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E105B-5B2C-4EFC-9B4B-16EE99C08420}">
  <sheetPr>
    <pageSetUpPr fitToPage="1"/>
  </sheetPr>
  <dimension ref="A2:J27"/>
  <sheetViews>
    <sheetView tabSelected="1" workbookViewId="0">
      <selection activeCell="B2" sqref="B2"/>
    </sheetView>
  </sheetViews>
  <sheetFormatPr baseColWidth="10" defaultRowHeight="13.2" x14ac:dyDescent="0.25"/>
  <cols>
    <col min="1" max="1" width="38.5546875" customWidth="1"/>
    <col min="2" max="2" width="32" style="137" customWidth="1"/>
    <col min="3" max="3" width="11.5546875" style="137"/>
    <col min="4" max="4" width="14.109375" style="137" customWidth="1"/>
    <col min="5" max="7" width="11.5546875" style="137"/>
    <col min="8" max="8" width="12.109375" style="137" customWidth="1"/>
    <col min="9" max="9" width="17.88671875" style="137" customWidth="1"/>
    <col min="10" max="16384" width="11.5546875" style="137"/>
  </cols>
  <sheetData>
    <row r="2" spans="1:10" ht="13.8" x14ac:dyDescent="0.25">
      <c r="A2" s="139" t="s">
        <v>19</v>
      </c>
      <c r="B2" s="136">
        <v>2024</v>
      </c>
    </row>
    <row r="4" spans="1:10" x14ac:dyDescent="0.25">
      <c r="A4" t="s">
        <v>307</v>
      </c>
      <c r="B4" s="138"/>
    </row>
    <row r="5" spans="1:10" x14ac:dyDescent="0.25">
      <c r="A5" t="s">
        <v>308</v>
      </c>
      <c r="B5" s="138"/>
    </row>
    <row r="7" spans="1:10" x14ac:dyDescent="0.25">
      <c r="A7" t="s">
        <v>309</v>
      </c>
      <c r="B7" s="138"/>
    </row>
    <row r="8" spans="1:10" x14ac:dyDescent="0.25">
      <c r="A8" t="s">
        <v>310</v>
      </c>
      <c r="B8" s="138"/>
    </row>
    <row r="11" spans="1:10" s="552" customFormat="1" hidden="1" x14ac:dyDescent="0.25">
      <c r="A11" s="550" t="s">
        <v>304</v>
      </c>
      <c r="B11" s="551" t="s">
        <v>18</v>
      </c>
    </row>
    <row r="12" spans="1:10" s="764" customFormat="1" hidden="1" x14ac:dyDescent="0.25">
      <c r="A12" s="762" t="s">
        <v>305</v>
      </c>
      <c r="B12" s="763"/>
    </row>
    <row r="13" spans="1:10" x14ac:dyDescent="0.25">
      <c r="A13" t="s">
        <v>306</v>
      </c>
      <c r="B13" s="524" t="s">
        <v>338</v>
      </c>
    </row>
    <row r="15" spans="1:10" ht="13.8" thickBot="1" x14ac:dyDescent="0.3"/>
    <row r="16" spans="1:10" ht="13.8" thickBot="1" x14ac:dyDescent="0.3">
      <c r="A16" s="645" t="s">
        <v>378</v>
      </c>
      <c r="B16" s="529">
        <v>0</v>
      </c>
      <c r="C16" s="615" t="s">
        <v>361</v>
      </c>
      <c r="H16" s="647" t="s">
        <v>376</v>
      </c>
      <c r="I16" s="646">
        <f>ROUND(IF('Ingresos y Liquidacion'!I2="SI",'Ingresos y Liquidacion'!I293,'Ingresos y Liquidacion'!J293),2)</f>
        <v>0</v>
      </c>
      <c r="J16" s="648" t="s">
        <v>377</v>
      </c>
    </row>
    <row r="17" spans="1:4" x14ac:dyDescent="0.25">
      <c r="A17" s="644" t="s">
        <v>379</v>
      </c>
      <c r="B17" s="676">
        <f>ROUND(IF('Ingresos y Liquidacion'!I2="SI",SUM('Ingresos y Liquidacion'!D302:I302),SUM('Ingresos y Liquidacion'!D302:J302)),2)</f>
        <v>0</v>
      </c>
      <c r="C17" s="615"/>
    </row>
    <row r="18" spans="1:4" x14ac:dyDescent="0.25">
      <c r="A18" s="616" t="s">
        <v>380</v>
      </c>
      <c r="B18" s="617">
        <f>MAX(0,B16-B17)</f>
        <v>0</v>
      </c>
    </row>
    <row r="19" spans="1:4" x14ac:dyDescent="0.25">
      <c r="A19" s="654" t="str">
        <f>IF(B16-B17&lt;0,"Saldo a utilizar hasta absorción:","")</f>
        <v/>
      </c>
      <c r="B19" s="655">
        <f>MIN(0,B16-B17)</f>
        <v>0</v>
      </c>
      <c r="C19" s="657" t="str">
        <f>IF(A19="","","según RG AFIP 5531 art 6º")</f>
        <v/>
      </c>
      <c r="D19" s="656"/>
    </row>
    <row r="20" spans="1:4" x14ac:dyDescent="0.25">
      <c r="B20" s="142"/>
      <c r="D20" s="142"/>
    </row>
    <row r="21" spans="1:4" x14ac:dyDescent="0.25">
      <c r="B21" s="142"/>
      <c r="D21" s="142"/>
    </row>
    <row r="22" spans="1:4" x14ac:dyDescent="0.25">
      <c r="A22" s="528" t="s">
        <v>372</v>
      </c>
      <c r="B22" s="529">
        <v>0</v>
      </c>
    </row>
    <row r="27" spans="1:4" ht="15.6" customHeight="1" x14ac:dyDescent="0.3">
      <c r="A27" s="515" t="s">
        <v>311</v>
      </c>
      <c r="B27" s="516"/>
    </row>
  </sheetData>
  <sheetProtection sheet="1" formatCells="0" formatColumns="0" formatRows="0"/>
  <dataValidations count="2">
    <dataValidation type="list" operator="equal" allowBlank="1" showErrorMessage="1" sqref="B11" xr:uid="{01AE94BF-4453-4B12-A08E-6F59C8787F47}">
      <formula1>"SI,NO"</formula1>
    </dataValidation>
    <dataValidation type="list" showInputMessage="1" showErrorMessage="1" sqref="B13" xr:uid="{11D5A345-D0DC-4363-BD47-8B0E56CB9EFD}">
      <formula1>"Junio-Diciembre,Anual"</formula1>
    </dataValidation>
  </dataValidations>
  <pageMargins left="0.70866141732283472" right="0.70866141732283472" top="0.74803149606299213" bottom="0.74803149606299213" header="0.31496062992125984" footer="0.31496062992125984"/>
  <pageSetup scale="94"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AO961"/>
  <sheetViews>
    <sheetView zoomScaleNormal="100" workbookViewId="0">
      <selection activeCell="AL61" sqref="AL61"/>
    </sheetView>
  </sheetViews>
  <sheetFormatPr baseColWidth="10" defaultColWidth="14.5546875" defaultRowHeight="13.2" x14ac:dyDescent="0.25"/>
  <cols>
    <col min="1" max="1" width="1.88671875" style="143" customWidth="1"/>
    <col min="2" max="2" width="1.77734375" style="143" customWidth="1"/>
    <col min="3" max="3" width="17.5546875" style="143" customWidth="1"/>
    <col min="4" max="5" width="13.21875" style="143" customWidth="1"/>
    <col min="6" max="7" width="15" style="143" customWidth="1"/>
    <col min="8" max="8" width="14.33203125" style="143" customWidth="1"/>
    <col min="9" max="15" width="13.21875" style="143" customWidth="1"/>
    <col min="16" max="16" width="15.109375" style="143" customWidth="1"/>
    <col min="17" max="17" width="14" style="143" customWidth="1"/>
    <col min="18" max="18" width="13.109375" style="143" customWidth="1"/>
    <col min="19" max="1011" width="14.5546875" style="143"/>
    <col min="1012" max="1014" width="11.5546875" style="143" customWidth="1"/>
    <col min="1015" max="16384" width="14.5546875" style="143"/>
  </cols>
  <sheetData>
    <row r="1" spans="3:18" ht="12.75" customHeight="1" thickBot="1" x14ac:dyDescent="0.3"/>
    <row r="2" spans="3:18" ht="12.75" customHeight="1" thickBot="1" x14ac:dyDescent="0.3">
      <c r="D2" s="815"/>
      <c r="E2" s="815"/>
      <c r="F2" s="815"/>
      <c r="G2" s="815"/>
      <c r="H2" s="680"/>
      <c r="I2" s="681" t="s">
        <v>39</v>
      </c>
      <c r="J2" s="682"/>
      <c r="K2" s="682"/>
      <c r="L2" s="682"/>
      <c r="M2" s="682"/>
      <c r="N2" s="682"/>
      <c r="O2" s="682"/>
      <c r="P2" s="683"/>
    </row>
    <row r="3" spans="3:18" ht="12.75" customHeight="1" x14ac:dyDescent="0.25">
      <c r="D3" s="684"/>
      <c r="E3" s="17"/>
      <c r="F3" s="685"/>
      <c r="G3" s="686"/>
      <c r="H3" s="388"/>
      <c r="I3" s="687" t="s">
        <v>347</v>
      </c>
      <c r="J3" s="688"/>
      <c r="K3" s="688"/>
      <c r="L3" s="688"/>
      <c r="M3" s="688"/>
      <c r="N3" s="688"/>
      <c r="O3" s="688"/>
      <c r="P3" s="689">
        <v>195845.39</v>
      </c>
      <c r="R3" s="690"/>
    </row>
    <row r="4" spans="3:18" ht="12.75" customHeight="1" x14ac:dyDescent="0.25">
      <c r="D4" s="684"/>
      <c r="E4" s="17"/>
      <c r="F4" s="685"/>
      <c r="G4" s="686"/>
      <c r="H4" s="388"/>
      <c r="I4" s="691" t="s">
        <v>40</v>
      </c>
      <c r="J4" s="56"/>
      <c r="K4" s="56"/>
      <c r="L4" s="56"/>
      <c r="M4" s="56"/>
      <c r="N4" s="56"/>
      <c r="O4" s="56"/>
      <c r="P4" s="692">
        <v>996.23</v>
      </c>
      <c r="R4" s="690"/>
    </row>
    <row r="5" spans="3:18" ht="12.75" customHeight="1" x14ac:dyDescent="0.25">
      <c r="D5" s="684"/>
      <c r="E5" s="17"/>
      <c r="F5" s="685"/>
      <c r="G5" s="686"/>
      <c r="H5" s="388"/>
      <c r="I5" s="691" t="s">
        <v>348</v>
      </c>
      <c r="J5" s="56"/>
      <c r="K5" s="56"/>
      <c r="L5" s="56"/>
      <c r="M5" s="56"/>
      <c r="N5" s="56"/>
      <c r="O5" s="56"/>
      <c r="P5" s="693">
        <f>+P3</f>
        <v>195845.39</v>
      </c>
      <c r="R5" s="690"/>
    </row>
    <row r="6" spans="3:18" ht="12.75" customHeight="1" x14ac:dyDescent="0.25">
      <c r="D6" s="814" t="s">
        <v>413</v>
      </c>
      <c r="E6" s="814"/>
      <c r="F6" s="814"/>
      <c r="G6" s="814"/>
      <c r="H6" s="388"/>
      <c r="I6" s="691" t="s">
        <v>41</v>
      </c>
      <c r="J6" s="56"/>
      <c r="K6" s="56"/>
      <c r="L6" s="56"/>
      <c r="M6" s="56"/>
      <c r="N6" s="56"/>
      <c r="O6" s="56"/>
      <c r="P6" s="692">
        <v>20000</v>
      </c>
      <c r="R6" s="690"/>
    </row>
    <row r="7" spans="3:18" ht="12.75" customHeight="1" x14ac:dyDescent="0.25">
      <c r="D7" s="814"/>
      <c r="E7" s="814"/>
      <c r="F7" s="814"/>
      <c r="G7" s="814"/>
      <c r="H7" s="388"/>
      <c r="I7" s="691" t="s">
        <v>42</v>
      </c>
      <c r="J7" s="56"/>
      <c r="K7" s="56"/>
      <c r="L7" s="56"/>
      <c r="M7" s="56"/>
      <c r="N7" s="56"/>
      <c r="O7" s="56"/>
      <c r="P7" s="693">
        <f>$O$17</f>
        <v>3503688.17</v>
      </c>
      <c r="Q7" s="143" t="s">
        <v>62</v>
      </c>
      <c r="R7" s="690"/>
    </row>
    <row r="8" spans="3:18" ht="12.75" customHeight="1" x14ac:dyDescent="0.25">
      <c r="D8" s="814"/>
      <c r="E8" s="814"/>
      <c r="F8" s="814"/>
      <c r="G8" s="814"/>
      <c r="H8" s="166"/>
      <c r="I8" s="691" t="s">
        <v>59</v>
      </c>
      <c r="J8" s="56"/>
      <c r="K8" s="56"/>
      <c r="L8" s="56"/>
      <c r="M8" s="56"/>
      <c r="N8" s="56"/>
      <c r="O8" s="56"/>
      <c r="P8" s="693">
        <f>$O$17</f>
        <v>3503688.17</v>
      </c>
      <c r="Q8" s="143" t="s">
        <v>62</v>
      </c>
      <c r="R8" s="694"/>
    </row>
    <row r="9" spans="3:18" ht="12.75" customHeight="1" x14ac:dyDescent="0.25">
      <c r="D9" s="814"/>
      <c r="E9" s="814"/>
      <c r="F9" s="814"/>
      <c r="G9" s="814"/>
      <c r="H9" s="166"/>
      <c r="I9" s="691" t="s">
        <v>43</v>
      </c>
      <c r="J9" s="56"/>
      <c r="K9" s="56"/>
      <c r="L9" s="56"/>
      <c r="M9" s="56"/>
      <c r="N9" s="56"/>
      <c r="O9" s="56"/>
      <c r="P9" s="695">
        <v>0.05</v>
      </c>
      <c r="R9" s="690"/>
    </row>
    <row r="10" spans="3:18" ht="12.75" customHeight="1" x14ac:dyDescent="0.25">
      <c r="D10" s="814"/>
      <c r="E10" s="814"/>
      <c r="F10" s="814"/>
      <c r="G10" s="814"/>
      <c r="H10" s="166"/>
      <c r="I10" s="691" t="s">
        <v>44</v>
      </c>
      <c r="J10" s="56"/>
      <c r="K10" s="56"/>
      <c r="L10" s="56"/>
      <c r="M10" s="56"/>
      <c r="N10" s="56"/>
      <c r="O10" s="56"/>
      <c r="P10" s="695">
        <v>0.4</v>
      </c>
      <c r="R10" s="690"/>
    </row>
    <row r="11" spans="3:18" ht="12.75" customHeight="1" x14ac:dyDescent="0.25">
      <c r="D11" s="814"/>
      <c r="E11" s="814"/>
      <c r="F11" s="814"/>
      <c r="G11" s="814"/>
      <c r="I11" s="691" t="s">
        <v>45</v>
      </c>
      <c r="J11" s="56"/>
      <c r="K11" s="56"/>
      <c r="L11" s="56"/>
      <c r="M11" s="56"/>
      <c r="N11" s="56"/>
      <c r="O11" s="56"/>
      <c r="P11" s="695">
        <v>0.05</v>
      </c>
    </row>
    <row r="12" spans="3:18" ht="12.75" customHeight="1" x14ac:dyDescent="0.25">
      <c r="G12" s="696"/>
      <c r="I12" s="691" t="s">
        <v>46</v>
      </c>
      <c r="J12" s="56"/>
      <c r="K12" s="56"/>
      <c r="L12" s="56"/>
      <c r="M12" s="56"/>
      <c r="N12" s="56"/>
      <c r="O12" s="56"/>
      <c r="P12" s="695">
        <v>0.05</v>
      </c>
    </row>
    <row r="13" spans="3:18" ht="12.75" customHeight="1" x14ac:dyDescent="0.25">
      <c r="D13" s="697"/>
      <c r="I13" s="691" t="s">
        <v>47</v>
      </c>
      <c r="J13" s="56"/>
      <c r="K13" s="56"/>
      <c r="L13" s="56"/>
      <c r="M13" s="56"/>
      <c r="N13" s="56"/>
      <c r="O13" s="56"/>
      <c r="P13" s="695">
        <v>4.8</v>
      </c>
    </row>
    <row r="14" spans="3:18" ht="12.75" customHeight="1" thickBot="1" x14ac:dyDescent="0.3">
      <c r="I14" s="698" t="s">
        <v>60</v>
      </c>
      <c r="J14" s="699"/>
      <c r="K14" s="699"/>
      <c r="L14" s="699"/>
      <c r="M14" s="699"/>
      <c r="N14" s="699"/>
      <c r="O14" s="699"/>
      <c r="P14" s="700">
        <f>$O$17*0.4</f>
        <v>1401475.2680000002</v>
      </c>
      <c r="Q14" s="701" t="s">
        <v>102</v>
      </c>
    </row>
    <row r="15" spans="3:18" ht="12.75" customHeight="1" thickBot="1" x14ac:dyDescent="0.3">
      <c r="C15" s="733" t="s">
        <v>418</v>
      </c>
      <c r="D15" s="733"/>
      <c r="E15" s="733"/>
    </row>
    <row r="16" spans="3:18" ht="16.2" customHeight="1" x14ac:dyDescent="0.25">
      <c r="C16" s="734" t="s">
        <v>397</v>
      </c>
      <c r="D16" s="735" t="s">
        <v>1</v>
      </c>
      <c r="E16" s="735" t="s">
        <v>2</v>
      </c>
      <c r="F16" s="735" t="s">
        <v>3</v>
      </c>
      <c r="G16" s="735" t="s">
        <v>4</v>
      </c>
      <c r="H16" s="735" t="s">
        <v>5</v>
      </c>
      <c r="I16" s="735" t="s">
        <v>6</v>
      </c>
      <c r="J16" s="735" t="s">
        <v>7</v>
      </c>
      <c r="K16" s="735" t="s">
        <v>8</v>
      </c>
      <c r="L16" s="736" t="s">
        <v>9</v>
      </c>
      <c r="M16" s="735" t="s">
        <v>10</v>
      </c>
      <c r="N16" s="735" t="s">
        <v>11</v>
      </c>
      <c r="O16" s="737" t="s">
        <v>12</v>
      </c>
    </row>
    <row r="17" spans="3:15" ht="12.75" customHeight="1" x14ac:dyDescent="0.25">
      <c r="C17" s="809" t="s">
        <v>62</v>
      </c>
      <c r="D17" s="738">
        <f>3091035</f>
        <v>3091035</v>
      </c>
      <c r="E17" s="739">
        <f>+D17</f>
        <v>3091035</v>
      </c>
      <c r="F17" s="739">
        <f t="shared" ref="F17:K17" si="0">+E17</f>
        <v>3091035</v>
      </c>
      <c r="G17" s="739">
        <f t="shared" si="0"/>
        <v>3091035</v>
      </c>
      <c r="H17" s="739">
        <f t="shared" si="0"/>
        <v>3091035</v>
      </c>
      <c r="I17" s="739">
        <f t="shared" si="0"/>
        <v>3091035</v>
      </c>
      <c r="J17" s="739">
        <f t="shared" si="0"/>
        <v>3091035</v>
      </c>
      <c r="K17" s="739">
        <f t="shared" si="0"/>
        <v>3091035</v>
      </c>
      <c r="L17" s="810">
        <f>ROUND(D17*$L$23,2)</f>
        <v>3503688.17</v>
      </c>
      <c r="M17" s="739">
        <f t="shared" ref="M17:O21" si="1">+L17</f>
        <v>3503688.17</v>
      </c>
      <c r="N17" s="739">
        <f t="shared" si="1"/>
        <v>3503688.17</v>
      </c>
      <c r="O17" s="739">
        <f t="shared" si="1"/>
        <v>3503688.17</v>
      </c>
    </row>
    <row r="18" spans="3:15" ht="12.75" customHeight="1" x14ac:dyDescent="0.25">
      <c r="C18" s="809" t="s">
        <v>415</v>
      </c>
      <c r="D18" s="738">
        <f>2911135</f>
        <v>2911135</v>
      </c>
      <c r="E18" s="739">
        <f t="shared" ref="E18:K18" si="2">+D18</f>
        <v>2911135</v>
      </c>
      <c r="F18" s="739">
        <f t="shared" si="2"/>
        <v>2911135</v>
      </c>
      <c r="G18" s="739">
        <f t="shared" si="2"/>
        <v>2911135</v>
      </c>
      <c r="H18" s="739">
        <f t="shared" si="2"/>
        <v>2911135</v>
      </c>
      <c r="I18" s="739">
        <f t="shared" si="2"/>
        <v>2911135</v>
      </c>
      <c r="J18" s="739">
        <f t="shared" si="2"/>
        <v>2911135</v>
      </c>
      <c r="K18" s="739">
        <f t="shared" si="2"/>
        <v>2911135</v>
      </c>
      <c r="L18" s="810">
        <f t="shared" ref="L18" si="3">ROUND(D18*$L$23,2)</f>
        <v>3299771.52</v>
      </c>
      <c r="M18" s="739">
        <f t="shared" si="1"/>
        <v>3299771.52</v>
      </c>
      <c r="N18" s="739">
        <f t="shared" si="1"/>
        <v>3299771.52</v>
      </c>
      <c r="O18" s="739">
        <f t="shared" si="1"/>
        <v>3299771.52</v>
      </c>
    </row>
    <row r="19" spans="3:15" ht="12.75" customHeight="1" x14ac:dyDescent="0.25">
      <c r="C19" s="809" t="s">
        <v>396</v>
      </c>
      <c r="D19" s="738">
        <f>1468096</f>
        <v>1468096</v>
      </c>
      <c r="E19" s="739">
        <f t="shared" ref="E19:K19" si="4">+D19</f>
        <v>1468096</v>
      </c>
      <c r="F19" s="739">
        <f t="shared" si="4"/>
        <v>1468096</v>
      </c>
      <c r="G19" s="739">
        <f t="shared" si="4"/>
        <v>1468096</v>
      </c>
      <c r="H19" s="739">
        <f t="shared" si="4"/>
        <v>1468096</v>
      </c>
      <c r="I19" s="739">
        <f t="shared" si="4"/>
        <v>1468096</v>
      </c>
      <c r="J19" s="739">
        <f t="shared" si="4"/>
        <v>1468096</v>
      </c>
      <c r="K19" s="739">
        <f t="shared" si="4"/>
        <v>1468096</v>
      </c>
      <c r="L19" s="810">
        <f>ROUND(D19*$L$23,2)</f>
        <v>1664086.82</v>
      </c>
      <c r="M19" s="739">
        <f t="shared" si="1"/>
        <v>1664086.82</v>
      </c>
      <c r="N19" s="739">
        <f t="shared" si="1"/>
        <v>1664086.82</v>
      </c>
      <c r="O19" s="739">
        <f t="shared" si="1"/>
        <v>1664086.82</v>
      </c>
    </row>
    <row r="20" spans="3:15" ht="12.75" customHeight="1" x14ac:dyDescent="0.25">
      <c r="C20" s="809" t="s">
        <v>416</v>
      </c>
      <c r="D20" s="724">
        <f>+D19*2</f>
        <v>2936192</v>
      </c>
      <c r="E20" s="739">
        <f t="shared" ref="E20:K20" si="5">+D20</f>
        <v>2936192</v>
      </c>
      <c r="F20" s="739">
        <f t="shared" si="5"/>
        <v>2936192</v>
      </c>
      <c r="G20" s="739">
        <f t="shared" si="5"/>
        <v>2936192</v>
      </c>
      <c r="H20" s="739">
        <f t="shared" si="5"/>
        <v>2936192</v>
      </c>
      <c r="I20" s="739">
        <f t="shared" si="5"/>
        <v>2936192</v>
      </c>
      <c r="J20" s="739">
        <f t="shared" si="5"/>
        <v>2936192</v>
      </c>
      <c r="K20" s="739">
        <f t="shared" si="5"/>
        <v>2936192</v>
      </c>
      <c r="L20" s="810">
        <f>ROUND(D20*$L$23,2)</f>
        <v>3328173.63</v>
      </c>
      <c r="M20" s="739">
        <f t="shared" si="1"/>
        <v>3328173.63</v>
      </c>
      <c r="N20" s="739">
        <f t="shared" si="1"/>
        <v>3328173.63</v>
      </c>
      <c r="O20" s="739">
        <f t="shared" si="1"/>
        <v>3328173.63</v>
      </c>
    </row>
    <row r="21" spans="3:15" ht="12.75" customHeight="1" x14ac:dyDescent="0.25">
      <c r="C21" s="809" t="s">
        <v>417</v>
      </c>
      <c r="D21" s="738">
        <f>14836968</f>
        <v>14836968</v>
      </c>
      <c r="E21" s="739">
        <f t="shared" ref="E21:K21" si="6">+D21</f>
        <v>14836968</v>
      </c>
      <c r="F21" s="739">
        <f t="shared" si="6"/>
        <v>14836968</v>
      </c>
      <c r="G21" s="739">
        <f t="shared" si="6"/>
        <v>14836968</v>
      </c>
      <c r="H21" s="739">
        <f t="shared" si="6"/>
        <v>14836968</v>
      </c>
      <c r="I21" s="739">
        <f t="shared" si="6"/>
        <v>14836968</v>
      </c>
      <c r="J21" s="739">
        <f t="shared" si="6"/>
        <v>14836968</v>
      </c>
      <c r="K21" s="739">
        <f t="shared" si="6"/>
        <v>14836968</v>
      </c>
      <c r="L21" s="810">
        <f>ROUND(D21*L23,2)</f>
        <v>16817703.23</v>
      </c>
      <c r="M21" s="739">
        <f t="shared" si="1"/>
        <v>16817703.23</v>
      </c>
      <c r="N21" s="739">
        <f t="shared" si="1"/>
        <v>16817703.23</v>
      </c>
      <c r="O21" s="739">
        <f t="shared" si="1"/>
        <v>16817703.23</v>
      </c>
    </row>
    <row r="22" spans="3:15" ht="12.75" customHeight="1" x14ac:dyDescent="0.25">
      <c r="C22" s="176"/>
      <c r="D22" s="166"/>
    </row>
    <row r="23" spans="3:15" ht="12.75" customHeight="1" x14ac:dyDescent="0.25">
      <c r="D23" s="166"/>
      <c r="K23" s="807" t="s">
        <v>425</v>
      </c>
      <c r="L23" s="808">
        <v>1.1335</v>
      </c>
    </row>
    <row r="24" spans="3:15" ht="13.8" thickBot="1" x14ac:dyDescent="0.3"/>
    <row r="25" spans="3:15" ht="15.6" customHeight="1" thickBot="1" x14ac:dyDescent="0.3">
      <c r="C25" s="677" t="s">
        <v>125</v>
      </c>
      <c r="D25" s="678"/>
      <c r="E25" s="678"/>
      <c r="F25" s="678"/>
      <c r="G25" s="678"/>
      <c r="H25" s="678"/>
      <c r="I25" s="678"/>
      <c r="J25" s="678"/>
      <c r="K25" s="678"/>
      <c r="L25" s="678"/>
      <c r="M25" s="678"/>
      <c r="N25" s="678"/>
      <c r="O25" s="679"/>
    </row>
    <row r="26" spans="3:15" ht="15" customHeight="1" thickBot="1" x14ac:dyDescent="0.3">
      <c r="C26" s="702" t="s">
        <v>49</v>
      </c>
      <c r="D26" s="703">
        <v>44197</v>
      </c>
      <c r="E26" s="703">
        <v>44228</v>
      </c>
      <c r="F26" s="703">
        <v>44256</v>
      </c>
      <c r="G26" s="703">
        <v>44287</v>
      </c>
      <c r="H26" s="703">
        <v>44317</v>
      </c>
      <c r="I26" s="703">
        <v>44348</v>
      </c>
      <c r="J26" s="703">
        <v>44378</v>
      </c>
      <c r="K26" s="703">
        <v>44409</v>
      </c>
      <c r="L26" s="703">
        <v>44440</v>
      </c>
      <c r="M26" s="703">
        <v>44470</v>
      </c>
      <c r="N26" s="703">
        <v>44501</v>
      </c>
      <c r="O26" s="704">
        <v>44531</v>
      </c>
    </row>
    <row r="27" spans="3:15" ht="15" customHeight="1" thickBot="1" x14ac:dyDescent="0.3">
      <c r="C27" s="740" t="s">
        <v>51</v>
      </c>
      <c r="D27" s="741">
        <v>1157112.83</v>
      </c>
      <c r="E27" s="742">
        <f>+D27</f>
        <v>1157112.83</v>
      </c>
      <c r="F27" s="741">
        <v>1471616.1</v>
      </c>
      <c r="G27" s="741">
        <v>1874838.91</v>
      </c>
      <c r="H27" s="741">
        <v>2081258.67</v>
      </c>
      <c r="I27" s="741">
        <v>2265033.81</v>
      </c>
      <c r="J27" s="741">
        <v>2359712.2200000002</v>
      </c>
      <c r="K27" s="741">
        <v>2467787.04</v>
      </c>
      <c r="L27" s="741">
        <v>2567238.86</v>
      </c>
      <c r="M27" s="741">
        <v>2674292.7200000002</v>
      </c>
      <c r="N27" s="741">
        <f t="shared" ref="N27:O27" si="7">+M27</f>
        <v>2674292.7200000002</v>
      </c>
      <c r="O27" s="743">
        <f t="shared" si="7"/>
        <v>2674292.7200000002</v>
      </c>
    </row>
    <row r="28" spans="3:15" ht="12.75" hidden="1" customHeight="1" x14ac:dyDescent="0.25">
      <c r="C28" s="705" t="s">
        <v>57</v>
      </c>
      <c r="D28" s="706">
        <v>974515.89</v>
      </c>
      <c r="E28" s="707">
        <f>+D28</f>
        <v>974515.89</v>
      </c>
      <c r="F28" s="707">
        <f t="shared" ref="F28:O28" si="8">+E28</f>
        <v>974515.89</v>
      </c>
      <c r="G28" s="707">
        <f t="shared" si="8"/>
        <v>974515.89</v>
      </c>
      <c r="H28" s="707">
        <f>+G28</f>
        <v>974515.89</v>
      </c>
      <c r="I28" s="707">
        <f t="shared" si="8"/>
        <v>974515.89</v>
      </c>
      <c r="J28" s="707">
        <f t="shared" si="8"/>
        <v>974515.89</v>
      </c>
      <c r="K28" s="707">
        <f>+J28</f>
        <v>974515.89</v>
      </c>
      <c r="L28" s="707">
        <f t="shared" si="8"/>
        <v>974515.89</v>
      </c>
      <c r="M28" s="707">
        <f>+L28</f>
        <v>974515.89</v>
      </c>
      <c r="N28" s="707">
        <f t="shared" si="8"/>
        <v>974515.89</v>
      </c>
      <c r="O28" s="708">
        <f t="shared" si="8"/>
        <v>974515.89</v>
      </c>
    </row>
    <row r="29" spans="3:15" s="560" customFormat="1" ht="12.75" hidden="1" customHeight="1" x14ac:dyDescent="0.25">
      <c r="C29" s="709" t="s">
        <v>56</v>
      </c>
      <c r="D29" s="710"/>
      <c r="E29" s="710"/>
      <c r="F29" s="710"/>
      <c r="G29" s="710"/>
      <c r="H29" s="710"/>
      <c r="I29" s="710">
        <v>0</v>
      </c>
      <c r="J29" s="710"/>
      <c r="K29" s="710"/>
      <c r="L29" s="710"/>
      <c r="M29" s="710"/>
      <c r="N29" s="710"/>
      <c r="O29" s="711">
        <v>0</v>
      </c>
    </row>
    <row r="30" spans="3:15" s="560" customFormat="1" ht="12.75" hidden="1" customHeight="1" thickBot="1" x14ac:dyDescent="0.3">
      <c r="C30" s="712" t="s">
        <v>414</v>
      </c>
      <c r="D30" s="713">
        <v>0</v>
      </c>
      <c r="E30" s="714">
        <f>D30</f>
        <v>0</v>
      </c>
      <c r="F30" s="714">
        <f t="shared" ref="F30:O30" si="9">E30</f>
        <v>0</v>
      </c>
      <c r="G30" s="713">
        <f>F30*E9</f>
        <v>0</v>
      </c>
      <c r="H30" s="714">
        <f t="shared" si="9"/>
        <v>0</v>
      </c>
      <c r="I30" s="714">
        <f t="shared" si="9"/>
        <v>0</v>
      </c>
      <c r="J30" s="713">
        <f>I30*E10</f>
        <v>0</v>
      </c>
      <c r="K30" s="714">
        <f t="shared" si="9"/>
        <v>0</v>
      </c>
      <c r="L30" s="714">
        <f t="shared" si="9"/>
        <v>0</v>
      </c>
      <c r="M30" s="713">
        <f>L30*E11</f>
        <v>0</v>
      </c>
      <c r="N30" s="714">
        <f t="shared" si="9"/>
        <v>0</v>
      </c>
      <c r="O30" s="715">
        <f t="shared" si="9"/>
        <v>0</v>
      </c>
    </row>
    <row r="31" spans="3:15" ht="12.75" customHeight="1" thickBot="1" x14ac:dyDescent="0.3">
      <c r="C31" s="749"/>
      <c r="D31" s="750"/>
      <c r="E31" s="746"/>
      <c r="F31" s="746"/>
      <c r="G31" s="745"/>
      <c r="H31" s="746"/>
      <c r="I31" s="746"/>
      <c r="J31" s="745"/>
      <c r="K31" s="746"/>
      <c r="L31" s="746"/>
      <c r="M31" s="745"/>
      <c r="N31" s="746"/>
      <c r="O31" s="746"/>
    </row>
    <row r="32" spans="3:15" ht="14.4" customHeight="1" thickBot="1" x14ac:dyDescent="0.3">
      <c r="C32" s="747" t="s">
        <v>419</v>
      </c>
      <c r="D32" s="743">
        <v>1157112.83</v>
      </c>
      <c r="E32" s="748" t="s">
        <v>420</v>
      </c>
      <c r="F32" s="746"/>
      <c r="G32" s="745"/>
      <c r="H32" s="746"/>
      <c r="I32" s="746"/>
      <c r="J32" s="745"/>
      <c r="K32" s="746"/>
      <c r="L32" s="746"/>
      <c r="M32" s="745"/>
      <c r="N32" s="746"/>
      <c r="O32" s="746"/>
    </row>
    <row r="33" spans="3:41" ht="14.4" customHeight="1" x14ac:dyDescent="0.25">
      <c r="C33" s="744"/>
      <c r="D33" s="745"/>
      <c r="E33" s="748"/>
      <c r="F33" s="746"/>
      <c r="G33" s="745"/>
      <c r="H33" s="746"/>
      <c r="I33" s="746"/>
      <c r="J33" s="745"/>
      <c r="K33" s="746"/>
      <c r="L33" s="746"/>
      <c r="M33" s="745"/>
      <c r="N33" s="746"/>
      <c r="O33" s="746"/>
    </row>
    <row r="34" spans="3:41" ht="12.75" customHeight="1" x14ac:dyDescent="0.25"/>
    <row r="35" spans="3:41" ht="12.75" customHeight="1" x14ac:dyDescent="0.25">
      <c r="C35" s="266" t="s">
        <v>293</v>
      </c>
      <c r="O35" s="694"/>
    </row>
    <row r="36" spans="3:41" ht="15.6" customHeight="1" x14ac:dyDescent="0.25">
      <c r="C36" s="716" t="s">
        <v>49</v>
      </c>
      <c r="D36" s="717">
        <v>44197</v>
      </c>
      <c r="E36" s="717">
        <v>44228</v>
      </c>
      <c r="F36" s="717">
        <v>44256</v>
      </c>
      <c r="G36" s="717">
        <v>44287</v>
      </c>
      <c r="H36" s="717">
        <v>44317</v>
      </c>
      <c r="I36" s="717">
        <v>44348</v>
      </c>
      <c r="J36" s="717">
        <v>44378</v>
      </c>
      <c r="K36" s="717">
        <v>44409</v>
      </c>
      <c r="L36" s="717">
        <v>44440</v>
      </c>
      <c r="M36" s="717">
        <v>44470</v>
      </c>
      <c r="N36" s="717">
        <v>44501</v>
      </c>
      <c r="O36" s="717">
        <v>44531</v>
      </c>
    </row>
    <row r="37" spans="3:41" ht="12.75" customHeight="1" x14ac:dyDescent="0.25">
      <c r="C37" s="718" t="s">
        <v>389</v>
      </c>
      <c r="D37" s="719">
        <v>0.11</v>
      </c>
      <c r="E37" s="719">
        <f>+D37</f>
        <v>0.11</v>
      </c>
      <c r="F37" s="719">
        <f t="shared" ref="F37:O37" si="10">+E37</f>
        <v>0.11</v>
      </c>
      <c r="G37" s="719">
        <f t="shared" si="10"/>
        <v>0.11</v>
      </c>
      <c r="H37" s="719">
        <f t="shared" si="10"/>
        <v>0.11</v>
      </c>
      <c r="I37" s="719">
        <f t="shared" si="10"/>
        <v>0.11</v>
      </c>
      <c r="J37" s="719">
        <f t="shared" si="10"/>
        <v>0.11</v>
      </c>
      <c r="K37" s="719">
        <f t="shared" si="10"/>
        <v>0.11</v>
      </c>
      <c r="L37" s="719">
        <f t="shared" si="10"/>
        <v>0.11</v>
      </c>
      <c r="M37" s="719">
        <f t="shared" si="10"/>
        <v>0.11</v>
      </c>
      <c r="N37" s="719">
        <f t="shared" si="10"/>
        <v>0.11</v>
      </c>
      <c r="O37" s="719">
        <f t="shared" si="10"/>
        <v>0.11</v>
      </c>
    </row>
    <row r="38" spans="3:41" ht="12.75" customHeight="1" x14ac:dyDescent="0.25">
      <c r="C38" s="718" t="s">
        <v>23</v>
      </c>
      <c r="D38" s="719">
        <v>0.03</v>
      </c>
      <c r="E38" s="719">
        <f t="shared" ref="E38:O40" si="11">+D38</f>
        <v>0.03</v>
      </c>
      <c r="F38" s="719">
        <f t="shared" si="11"/>
        <v>0.03</v>
      </c>
      <c r="G38" s="719">
        <f t="shared" si="11"/>
        <v>0.03</v>
      </c>
      <c r="H38" s="719">
        <f t="shared" si="11"/>
        <v>0.03</v>
      </c>
      <c r="I38" s="719">
        <f t="shared" si="11"/>
        <v>0.03</v>
      </c>
      <c r="J38" s="719">
        <f t="shared" si="11"/>
        <v>0.03</v>
      </c>
      <c r="K38" s="719">
        <f t="shared" si="11"/>
        <v>0.03</v>
      </c>
      <c r="L38" s="719">
        <f t="shared" si="11"/>
        <v>0.03</v>
      </c>
      <c r="M38" s="719">
        <f t="shared" si="11"/>
        <v>0.03</v>
      </c>
      <c r="N38" s="719">
        <f t="shared" si="11"/>
        <v>0.03</v>
      </c>
      <c r="O38" s="719">
        <f t="shared" si="11"/>
        <v>0.03</v>
      </c>
    </row>
    <row r="39" spans="3:41" ht="12.75" customHeight="1" x14ac:dyDescent="0.25">
      <c r="C39" s="718" t="s">
        <v>24</v>
      </c>
      <c r="D39" s="719">
        <v>0.03</v>
      </c>
      <c r="E39" s="719">
        <f t="shared" si="11"/>
        <v>0.03</v>
      </c>
      <c r="F39" s="719">
        <f t="shared" si="11"/>
        <v>0.03</v>
      </c>
      <c r="G39" s="719">
        <f t="shared" si="11"/>
        <v>0.03</v>
      </c>
      <c r="H39" s="719">
        <f t="shared" si="11"/>
        <v>0.03</v>
      </c>
      <c r="I39" s="719">
        <f t="shared" si="11"/>
        <v>0.03</v>
      </c>
      <c r="J39" s="719">
        <f t="shared" si="11"/>
        <v>0.03</v>
      </c>
      <c r="K39" s="719">
        <f t="shared" si="11"/>
        <v>0.03</v>
      </c>
      <c r="L39" s="719">
        <f t="shared" si="11"/>
        <v>0.03</v>
      </c>
      <c r="M39" s="719">
        <f t="shared" si="11"/>
        <v>0.03</v>
      </c>
      <c r="N39" s="719">
        <f t="shared" si="11"/>
        <v>0.03</v>
      </c>
      <c r="O39" s="719">
        <f t="shared" si="11"/>
        <v>0.03</v>
      </c>
    </row>
    <row r="40" spans="3:41" ht="12.75" customHeight="1" x14ac:dyDescent="0.25">
      <c r="C40" s="720" t="s">
        <v>25</v>
      </c>
      <c r="D40" s="719">
        <v>0</v>
      </c>
      <c r="E40" s="719">
        <f t="shared" si="11"/>
        <v>0</v>
      </c>
      <c r="F40" s="719">
        <f t="shared" si="11"/>
        <v>0</v>
      </c>
      <c r="G40" s="719">
        <f t="shared" si="11"/>
        <v>0</v>
      </c>
      <c r="H40" s="719">
        <f t="shared" si="11"/>
        <v>0</v>
      </c>
      <c r="I40" s="719">
        <f t="shared" si="11"/>
        <v>0</v>
      </c>
      <c r="J40" s="719">
        <f t="shared" si="11"/>
        <v>0</v>
      </c>
      <c r="K40" s="719">
        <f t="shared" si="11"/>
        <v>0</v>
      </c>
      <c r="L40" s="719">
        <f t="shared" si="11"/>
        <v>0</v>
      </c>
      <c r="M40" s="719">
        <f t="shared" si="11"/>
        <v>0</v>
      </c>
      <c r="N40" s="719">
        <f t="shared" si="11"/>
        <v>0</v>
      </c>
      <c r="O40" s="719">
        <f t="shared" si="11"/>
        <v>0</v>
      </c>
    </row>
    <row r="41" spans="3:41" ht="12.75" customHeight="1" x14ac:dyDescent="0.25">
      <c r="C41" s="317" t="s">
        <v>294</v>
      </c>
      <c r="D41" s="721">
        <f>SUM(D37:D40)</f>
        <v>0.17</v>
      </c>
      <c r="E41" s="721">
        <f t="shared" ref="E41:O41" si="12">SUM(E37:E40)</f>
        <v>0.17</v>
      </c>
      <c r="F41" s="721">
        <f t="shared" si="12"/>
        <v>0.17</v>
      </c>
      <c r="G41" s="721">
        <f t="shared" si="12"/>
        <v>0.17</v>
      </c>
      <c r="H41" s="721">
        <f t="shared" si="12"/>
        <v>0.17</v>
      </c>
      <c r="I41" s="721">
        <f t="shared" si="12"/>
        <v>0.17</v>
      </c>
      <c r="J41" s="721">
        <f t="shared" si="12"/>
        <v>0.17</v>
      </c>
      <c r="K41" s="721">
        <f t="shared" si="12"/>
        <v>0.17</v>
      </c>
      <c r="L41" s="721">
        <f t="shared" si="12"/>
        <v>0.17</v>
      </c>
      <c r="M41" s="721">
        <f t="shared" si="12"/>
        <v>0.17</v>
      </c>
      <c r="N41" s="721">
        <f t="shared" si="12"/>
        <v>0.17</v>
      </c>
      <c r="O41" s="721">
        <f t="shared" si="12"/>
        <v>0.17</v>
      </c>
    </row>
    <row r="42" spans="3:41" ht="12.75" customHeight="1" x14ac:dyDescent="0.25"/>
    <row r="43" spans="3:41" ht="12.75" customHeight="1" x14ac:dyDescent="0.25"/>
    <row r="44" spans="3:41" ht="12.75" customHeight="1" thickBot="1" x14ac:dyDescent="0.3"/>
    <row r="45" spans="3:41" s="722" customFormat="1" ht="16.2" customHeight="1" thickBot="1" x14ac:dyDescent="0.3">
      <c r="C45" s="811" t="s">
        <v>398</v>
      </c>
      <c r="D45" s="812"/>
      <c r="E45" s="813"/>
      <c r="F45" s="811" t="s">
        <v>399</v>
      </c>
      <c r="G45" s="812"/>
      <c r="H45" s="813"/>
      <c r="I45" s="811" t="s">
        <v>400</v>
      </c>
      <c r="J45" s="812"/>
      <c r="K45" s="813"/>
      <c r="L45" s="811" t="s">
        <v>401</v>
      </c>
      <c r="M45" s="812"/>
      <c r="N45" s="813"/>
      <c r="O45" s="811" t="s">
        <v>404</v>
      </c>
      <c r="P45" s="812"/>
      <c r="Q45" s="813"/>
      <c r="R45" s="811" t="s">
        <v>405</v>
      </c>
      <c r="S45" s="812"/>
      <c r="T45" s="813"/>
      <c r="U45" s="811" t="s">
        <v>406</v>
      </c>
      <c r="V45" s="812"/>
      <c r="W45" s="813"/>
      <c r="X45" s="811" t="s">
        <v>407</v>
      </c>
      <c r="Y45" s="812"/>
      <c r="Z45" s="813"/>
      <c r="AA45" s="811" t="s">
        <v>408</v>
      </c>
      <c r="AB45" s="812"/>
      <c r="AC45" s="813"/>
      <c r="AD45" s="811" t="s">
        <v>409</v>
      </c>
      <c r="AE45" s="812"/>
      <c r="AF45" s="813"/>
      <c r="AG45" s="811" t="s">
        <v>410</v>
      </c>
      <c r="AH45" s="812"/>
      <c r="AI45" s="813"/>
      <c r="AJ45" s="811" t="s">
        <v>411</v>
      </c>
      <c r="AK45" s="812"/>
      <c r="AL45" s="813"/>
      <c r="AM45" s="811" t="s">
        <v>412</v>
      </c>
      <c r="AN45" s="812"/>
      <c r="AO45" s="813"/>
    </row>
    <row r="46" spans="3:41" ht="12.75" customHeight="1" x14ac:dyDescent="0.25">
      <c r="C46" s="801" t="s">
        <v>402</v>
      </c>
      <c r="D46" s="802" t="s">
        <v>48</v>
      </c>
      <c r="E46" s="803" t="s">
        <v>403</v>
      </c>
      <c r="F46" s="801" t="s">
        <v>402</v>
      </c>
      <c r="G46" s="802" t="s">
        <v>48</v>
      </c>
      <c r="H46" s="803" t="s">
        <v>403</v>
      </c>
      <c r="I46" s="801" t="s">
        <v>402</v>
      </c>
      <c r="J46" s="802" t="s">
        <v>48</v>
      </c>
      <c r="K46" s="803" t="s">
        <v>403</v>
      </c>
      <c r="L46" s="801" t="s">
        <v>402</v>
      </c>
      <c r="M46" s="802" t="s">
        <v>48</v>
      </c>
      <c r="N46" s="803" t="s">
        <v>403</v>
      </c>
      <c r="O46" s="801" t="s">
        <v>402</v>
      </c>
      <c r="P46" s="802" t="s">
        <v>48</v>
      </c>
      <c r="Q46" s="803" t="s">
        <v>403</v>
      </c>
      <c r="R46" s="801" t="s">
        <v>402</v>
      </c>
      <c r="S46" s="802" t="s">
        <v>48</v>
      </c>
      <c r="T46" s="803" t="s">
        <v>403</v>
      </c>
      <c r="U46" s="801" t="s">
        <v>402</v>
      </c>
      <c r="V46" s="802" t="s">
        <v>48</v>
      </c>
      <c r="W46" s="803" t="s">
        <v>403</v>
      </c>
      <c r="X46" s="801" t="s">
        <v>402</v>
      </c>
      <c r="Y46" s="802" t="s">
        <v>48</v>
      </c>
      <c r="Z46" s="803" t="s">
        <v>403</v>
      </c>
      <c r="AA46" s="801" t="s">
        <v>402</v>
      </c>
      <c r="AB46" s="802" t="s">
        <v>48</v>
      </c>
      <c r="AC46" s="803" t="s">
        <v>403</v>
      </c>
      <c r="AD46" s="801" t="s">
        <v>402</v>
      </c>
      <c r="AE46" s="802" t="s">
        <v>48</v>
      </c>
      <c r="AF46" s="803" t="s">
        <v>403</v>
      </c>
      <c r="AG46" s="801" t="s">
        <v>402</v>
      </c>
      <c r="AH46" s="802" t="s">
        <v>48</v>
      </c>
      <c r="AI46" s="803" t="s">
        <v>403</v>
      </c>
      <c r="AJ46" s="801" t="s">
        <v>402</v>
      </c>
      <c r="AK46" s="802" t="s">
        <v>48</v>
      </c>
      <c r="AL46" s="803" t="s">
        <v>403</v>
      </c>
      <c r="AM46" s="801" t="s">
        <v>402</v>
      </c>
      <c r="AN46" s="802" t="s">
        <v>48</v>
      </c>
      <c r="AO46" s="803" t="s">
        <v>403</v>
      </c>
    </row>
    <row r="47" spans="3:41" ht="12.75" customHeight="1" x14ac:dyDescent="0.25">
      <c r="C47" s="797">
        <v>0</v>
      </c>
      <c r="D47" s="724">
        <v>0</v>
      </c>
      <c r="E47" s="725">
        <v>0.05</v>
      </c>
      <c r="F47" s="726">
        <f>C47*2</f>
        <v>0</v>
      </c>
      <c r="G47" s="727">
        <f>D47*2</f>
        <v>0</v>
      </c>
      <c r="H47" s="725">
        <v>0.05</v>
      </c>
      <c r="I47" s="726">
        <f>C47*3</f>
        <v>0</v>
      </c>
      <c r="J47" s="727">
        <f>D47*3</f>
        <v>0</v>
      </c>
      <c r="K47" s="725">
        <v>0.05</v>
      </c>
      <c r="L47" s="726">
        <f>C47*4</f>
        <v>0</v>
      </c>
      <c r="M47" s="727">
        <f>D47*4</f>
        <v>0</v>
      </c>
      <c r="N47" s="725">
        <v>0.05</v>
      </c>
      <c r="O47" s="726">
        <f>C47*5</f>
        <v>0</v>
      </c>
      <c r="P47" s="727">
        <f>D47*5</f>
        <v>0</v>
      </c>
      <c r="Q47" s="725">
        <v>0.05</v>
      </c>
      <c r="R47" s="726">
        <f>C47*6</f>
        <v>0</v>
      </c>
      <c r="S47" s="727">
        <f>D47*6</f>
        <v>0</v>
      </c>
      <c r="T47" s="725">
        <v>0.05</v>
      </c>
      <c r="U47" s="726">
        <f>C47*7</f>
        <v>0</v>
      </c>
      <c r="V47" s="727">
        <f>D47*7</f>
        <v>0</v>
      </c>
      <c r="W47" s="725">
        <v>0.05</v>
      </c>
      <c r="X47" s="726">
        <f>C47*8</f>
        <v>0</v>
      </c>
      <c r="Y47" s="727">
        <f>D47*8</f>
        <v>0</v>
      </c>
      <c r="Z47" s="725">
        <v>0.05</v>
      </c>
      <c r="AA47" s="799">
        <f>C47*9</f>
        <v>0</v>
      </c>
      <c r="AB47" s="800">
        <f>D47*9</f>
        <v>0</v>
      </c>
      <c r="AC47" s="725">
        <v>0.05</v>
      </c>
      <c r="AD47" s="799">
        <f>C47*10</f>
        <v>0</v>
      </c>
      <c r="AE47" s="800">
        <f>D47*10</f>
        <v>0</v>
      </c>
      <c r="AF47" s="725">
        <v>0.05</v>
      </c>
      <c r="AG47" s="799">
        <f>C47*11</f>
        <v>0</v>
      </c>
      <c r="AH47" s="800">
        <f>D47*11</f>
        <v>0</v>
      </c>
      <c r="AI47" s="725">
        <v>0.05</v>
      </c>
      <c r="AJ47" s="799">
        <f>C47*12</f>
        <v>0</v>
      </c>
      <c r="AK47" s="800">
        <f>D47*12</f>
        <v>0</v>
      </c>
      <c r="AL47" s="725">
        <v>0.05</v>
      </c>
      <c r="AM47" s="799">
        <v>0</v>
      </c>
      <c r="AN47" s="800">
        <v>0</v>
      </c>
      <c r="AO47" s="725">
        <v>0.05</v>
      </c>
    </row>
    <row r="48" spans="3:41" ht="12.75" customHeight="1" x14ac:dyDescent="0.25">
      <c r="C48" s="723">
        <f>1200000/12</f>
        <v>100000</v>
      </c>
      <c r="D48" s="724">
        <f>ROUND((C48-C47)*E47+D47,2)</f>
        <v>5000</v>
      </c>
      <c r="E48" s="725">
        <v>0.09</v>
      </c>
      <c r="F48" s="726">
        <f>$C48*2</f>
        <v>200000</v>
      </c>
      <c r="G48" s="727">
        <f>ROUND((F48-F47)*H47+G47,2)</f>
        <v>10000</v>
      </c>
      <c r="H48" s="725">
        <v>0.09</v>
      </c>
      <c r="I48" s="726">
        <f>$C48*3</f>
        <v>300000</v>
      </c>
      <c r="J48" s="727">
        <f>ROUND((I48-I47)*K47+J47,2)</f>
        <v>15000</v>
      </c>
      <c r="K48" s="725">
        <v>0.09</v>
      </c>
      <c r="L48" s="726">
        <f>$C48*4</f>
        <v>400000</v>
      </c>
      <c r="M48" s="727">
        <f>ROUND((L48-L47)*N47+M47,2)</f>
        <v>20000</v>
      </c>
      <c r="N48" s="725">
        <v>0.09</v>
      </c>
      <c r="O48" s="726">
        <f>$C48*5</f>
        <v>500000</v>
      </c>
      <c r="P48" s="727">
        <f>ROUND((O48-O47)*Q47+P47,2)</f>
        <v>25000</v>
      </c>
      <c r="Q48" s="725">
        <v>0.09</v>
      </c>
      <c r="R48" s="726">
        <f>$C48*6</f>
        <v>600000</v>
      </c>
      <c r="S48" s="727">
        <f>ROUND((R48-R47)*T47+S47,2)</f>
        <v>30000</v>
      </c>
      <c r="T48" s="725">
        <v>0.09</v>
      </c>
      <c r="U48" s="726">
        <f>$C48*7</f>
        <v>700000</v>
      </c>
      <c r="V48" s="727">
        <f>ROUND((U48-U47)*W47+V47,2)</f>
        <v>35000</v>
      </c>
      <c r="W48" s="725">
        <v>0.09</v>
      </c>
      <c r="X48" s="726">
        <f>$C48*8</f>
        <v>800000</v>
      </c>
      <c r="Y48" s="727">
        <f>ROUND((X48-X47)*Z47+Y47,2)</f>
        <v>40000</v>
      </c>
      <c r="Z48" s="725">
        <v>0.09</v>
      </c>
      <c r="AA48" s="728">
        <f>$X48+$C48*$L$23*1</f>
        <v>913350</v>
      </c>
      <c r="AB48" s="727">
        <f>ROUND((AA48-AA47)*AC47+AB47,2)</f>
        <v>45667.5</v>
      </c>
      <c r="AC48" s="725">
        <v>0.09</v>
      </c>
      <c r="AD48" s="728">
        <f>$X48+$C48*$L$23*2</f>
        <v>1026700</v>
      </c>
      <c r="AE48" s="727">
        <f>ROUND((AD48-AD47)*AF47+AE47,2)</f>
        <v>51335</v>
      </c>
      <c r="AF48" s="725">
        <v>0.09</v>
      </c>
      <c r="AG48" s="728">
        <f>$X48+$C48*$L$23*3</f>
        <v>1140050</v>
      </c>
      <c r="AH48" s="727">
        <f>ROUND((AG48-AG47)*AI47+AH47,2)</f>
        <v>57002.5</v>
      </c>
      <c r="AI48" s="725">
        <v>0.09</v>
      </c>
      <c r="AJ48" s="728">
        <f>$X48+$C48*$L$23*4</f>
        <v>1253400</v>
      </c>
      <c r="AK48" s="727">
        <f>ROUND((AJ48-AJ47)*AL47+AK47,2)</f>
        <v>62670</v>
      </c>
      <c r="AL48" s="725">
        <v>0.09</v>
      </c>
      <c r="AM48" s="728">
        <f>ROUND($C48*$L$23*12,2)</f>
        <v>1360200</v>
      </c>
      <c r="AN48" s="804">
        <f>ROUND((AM48-AM47)*AO47+AN47,2)</f>
        <v>68010</v>
      </c>
      <c r="AO48" s="725">
        <v>0.09</v>
      </c>
    </row>
    <row r="49" spans="3:41" ht="12.75" customHeight="1" x14ac:dyDescent="0.25">
      <c r="C49" s="797">
        <f>C48*2</f>
        <v>200000</v>
      </c>
      <c r="D49" s="724">
        <f>ROUND((C49-C48)*E48+D48,2)</f>
        <v>14000</v>
      </c>
      <c r="E49" s="725">
        <v>0.12</v>
      </c>
      <c r="F49" s="726">
        <f>+F48*2</f>
        <v>400000</v>
      </c>
      <c r="G49" s="727">
        <f t="shared" ref="G49:G55" si="13">ROUND((F49-F48)*H48+G48,2)</f>
        <v>28000</v>
      </c>
      <c r="H49" s="725">
        <v>0.12</v>
      </c>
      <c r="I49" s="726">
        <f>+I48*2</f>
        <v>600000</v>
      </c>
      <c r="J49" s="727">
        <f t="shared" ref="J49:J55" si="14">ROUND((I49-I48)*K48+J48,2)</f>
        <v>42000</v>
      </c>
      <c r="K49" s="725">
        <v>0.12</v>
      </c>
      <c r="L49" s="726">
        <f>+L48*2</f>
        <v>800000</v>
      </c>
      <c r="M49" s="727">
        <f t="shared" ref="M49:M55" si="15">ROUND((L49-L48)*N48+M48,2)</f>
        <v>56000</v>
      </c>
      <c r="N49" s="725">
        <v>0.12</v>
      </c>
      <c r="O49" s="726">
        <f>+O48*2</f>
        <v>1000000</v>
      </c>
      <c r="P49" s="727">
        <f t="shared" ref="P49:P55" si="16">ROUND((O49-O48)*Q48+P48,2)</f>
        <v>70000</v>
      </c>
      <c r="Q49" s="725">
        <v>0.12</v>
      </c>
      <c r="R49" s="726">
        <f>+R48*2</f>
        <v>1200000</v>
      </c>
      <c r="S49" s="727">
        <f t="shared" ref="S49:S55" si="17">ROUND((R49-R48)*T48+S48,2)</f>
        <v>84000</v>
      </c>
      <c r="T49" s="725">
        <v>0.12</v>
      </c>
      <c r="U49" s="726">
        <f>+U48*2</f>
        <v>1400000</v>
      </c>
      <c r="V49" s="727">
        <f t="shared" ref="V49:V55" si="18">ROUND((U49-U48)*W48+V48,2)</f>
        <v>98000</v>
      </c>
      <c r="W49" s="725">
        <v>0.12</v>
      </c>
      <c r="X49" s="726">
        <f>+X48*2</f>
        <v>1600000</v>
      </c>
      <c r="Y49" s="727">
        <f t="shared" ref="Y49:Y55" si="19">ROUND((X49-X48)*Z48+Y48,2)</f>
        <v>112000</v>
      </c>
      <c r="Z49" s="725">
        <v>0.12</v>
      </c>
      <c r="AA49" s="726">
        <f>+AA48*2</f>
        <v>1826700</v>
      </c>
      <c r="AB49" s="727">
        <f t="shared" ref="AB49:AB55" si="20">ROUND((AA49-AA48)*AC48+AB48,2)</f>
        <v>127869</v>
      </c>
      <c r="AC49" s="725">
        <v>0.12</v>
      </c>
      <c r="AD49" s="726">
        <f>+AD48*2</f>
        <v>2053400</v>
      </c>
      <c r="AE49" s="727">
        <f t="shared" ref="AE49:AE55" si="21">ROUND((AD49-AD48)*AF48+AE48,2)</f>
        <v>143738</v>
      </c>
      <c r="AF49" s="725">
        <v>0.12</v>
      </c>
      <c r="AG49" s="726">
        <f>+AG48*2</f>
        <v>2280100</v>
      </c>
      <c r="AH49" s="727">
        <f t="shared" ref="AH49:AH55" si="22">ROUND((AG49-AG48)*AI48+AH48,2)</f>
        <v>159607</v>
      </c>
      <c r="AI49" s="725">
        <v>0.12</v>
      </c>
      <c r="AJ49" s="726">
        <f>+AJ48*2</f>
        <v>2506800</v>
      </c>
      <c r="AK49" s="727">
        <f t="shared" ref="AK49:AK55" si="23">ROUND((AJ49-AJ48)*AL48+AK48,2)</f>
        <v>175476</v>
      </c>
      <c r="AL49" s="725">
        <v>0.12</v>
      </c>
      <c r="AM49" s="728">
        <f>+AM48*2</f>
        <v>2720400</v>
      </c>
      <c r="AN49" s="804">
        <f>ROUND((AM49-AM48)*AO48+AN48,2)</f>
        <v>190428</v>
      </c>
      <c r="AO49" s="725">
        <v>0.12</v>
      </c>
    </row>
    <row r="50" spans="3:41" ht="12.75" customHeight="1" x14ac:dyDescent="0.25">
      <c r="C50" s="797">
        <f>+C49*1.5</f>
        <v>300000</v>
      </c>
      <c r="D50" s="724">
        <f t="shared" ref="D50:D55" si="24">ROUND((C50-C49)*E49+D49,2)</f>
        <v>26000</v>
      </c>
      <c r="E50" s="725">
        <v>0.15</v>
      </c>
      <c r="F50" s="726">
        <f>+F49*1.5</f>
        <v>600000</v>
      </c>
      <c r="G50" s="727">
        <f t="shared" si="13"/>
        <v>52000</v>
      </c>
      <c r="H50" s="725">
        <v>0.15</v>
      </c>
      <c r="I50" s="726">
        <f>+I49*1.5</f>
        <v>900000</v>
      </c>
      <c r="J50" s="727">
        <f t="shared" si="14"/>
        <v>78000</v>
      </c>
      <c r="K50" s="725">
        <v>0.15</v>
      </c>
      <c r="L50" s="726">
        <f>+L49*1.5</f>
        <v>1200000</v>
      </c>
      <c r="M50" s="727">
        <f t="shared" si="15"/>
        <v>104000</v>
      </c>
      <c r="N50" s="725">
        <v>0.15</v>
      </c>
      <c r="O50" s="726">
        <f>+O49*1.5</f>
        <v>1500000</v>
      </c>
      <c r="P50" s="727">
        <f t="shared" si="16"/>
        <v>130000</v>
      </c>
      <c r="Q50" s="725">
        <v>0.15</v>
      </c>
      <c r="R50" s="726">
        <f>+R49*1.5</f>
        <v>1800000</v>
      </c>
      <c r="S50" s="727">
        <f>ROUND((R50-R49)*T49+S49,2)</f>
        <v>156000</v>
      </c>
      <c r="T50" s="725">
        <v>0.15</v>
      </c>
      <c r="U50" s="726">
        <f>+U49*1.5</f>
        <v>2100000</v>
      </c>
      <c r="V50" s="727">
        <f>ROUND((U50-U49)*W49+V49,2)</f>
        <v>182000</v>
      </c>
      <c r="W50" s="725">
        <v>0.15</v>
      </c>
      <c r="X50" s="726">
        <f>+X49*1.5</f>
        <v>2400000</v>
      </c>
      <c r="Y50" s="727">
        <f>ROUND((X50-X49)*Z49+Y49,2)</f>
        <v>208000</v>
      </c>
      <c r="Z50" s="725">
        <v>0.15</v>
      </c>
      <c r="AA50" s="726">
        <f>+AA49*1.5</f>
        <v>2740050</v>
      </c>
      <c r="AB50" s="727">
        <f>ROUND((AA50-AA49)*AC49+AB49,2)</f>
        <v>237471</v>
      </c>
      <c r="AC50" s="725">
        <v>0.15</v>
      </c>
      <c r="AD50" s="726">
        <f>+AD49*1.5</f>
        <v>3080100</v>
      </c>
      <c r="AE50" s="727">
        <f>ROUND((AD50-AD49)*AF49+AE49,2)</f>
        <v>266942</v>
      </c>
      <c r="AF50" s="725">
        <v>0.15</v>
      </c>
      <c r="AG50" s="726">
        <f>+AG49*1.5</f>
        <v>3420150</v>
      </c>
      <c r="AH50" s="727">
        <f>ROUND((AG50-AG49)*AI49+AH49,2)</f>
        <v>296413</v>
      </c>
      <c r="AI50" s="725">
        <v>0.15</v>
      </c>
      <c r="AJ50" s="726">
        <f>+AJ49*1.5</f>
        <v>3760200</v>
      </c>
      <c r="AK50" s="727">
        <f>ROUND((AJ50-AJ49)*AL49+AK49,2)</f>
        <v>325884</v>
      </c>
      <c r="AL50" s="725">
        <v>0.15</v>
      </c>
      <c r="AM50" s="728">
        <f>+AM49*1.5</f>
        <v>4080600</v>
      </c>
      <c r="AN50" s="804">
        <f>ROUND((AM50-AM49)*AO49+AN49,2)</f>
        <v>353652</v>
      </c>
      <c r="AO50" s="725">
        <v>0.15</v>
      </c>
    </row>
    <row r="51" spans="3:41" ht="12.75" customHeight="1" x14ac:dyDescent="0.25">
      <c r="C51" s="797">
        <f>+C50*1.5</f>
        <v>450000</v>
      </c>
      <c r="D51" s="724">
        <f t="shared" si="24"/>
        <v>48500</v>
      </c>
      <c r="E51" s="725">
        <v>0.19</v>
      </c>
      <c r="F51" s="726">
        <f>+F50*1.5</f>
        <v>900000</v>
      </c>
      <c r="G51" s="727">
        <f t="shared" si="13"/>
        <v>97000</v>
      </c>
      <c r="H51" s="725">
        <v>0.19</v>
      </c>
      <c r="I51" s="726">
        <f>+I50*1.5</f>
        <v>1350000</v>
      </c>
      <c r="J51" s="727">
        <f t="shared" si="14"/>
        <v>145500</v>
      </c>
      <c r="K51" s="725">
        <v>0.19</v>
      </c>
      <c r="L51" s="726">
        <f>+L50*1.5</f>
        <v>1800000</v>
      </c>
      <c r="M51" s="727">
        <f t="shared" si="15"/>
        <v>194000</v>
      </c>
      <c r="N51" s="725">
        <v>0.19</v>
      </c>
      <c r="O51" s="726">
        <f>+O50*1.5</f>
        <v>2250000</v>
      </c>
      <c r="P51" s="727">
        <f t="shared" si="16"/>
        <v>242500</v>
      </c>
      <c r="Q51" s="725">
        <v>0.19</v>
      </c>
      <c r="R51" s="726">
        <f>+R50*1.5</f>
        <v>2700000</v>
      </c>
      <c r="S51" s="727">
        <f t="shared" si="17"/>
        <v>291000</v>
      </c>
      <c r="T51" s="725">
        <v>0.19</v>
      </c>
      <c r="U51" s="726">
        <f>+U50*1.5</f>
        <v>3150000</v>
      </c>
      <c r="V51" s="727">
        <f t="shared" si="18"/>
        <v>339500</v>
      </c>
      <c r="W51" s="725">
        <v>0.19</v>
      </c>
      <c r="X51" s="726">
        <f>+X50*1.5</f>
        <v>3600000</v>
      </c>
      <c r="Y51" s="727">
        <f t="shared" si="19"/>
        <v>388000</v>
      </c>
      <c r="Z51" s="725">
        <v>0.19</v>
      </c>
      <c r="AA51" s="726">
        <f>+AA50*1.5</f>
        <v>4110075</v>
      </c>
      <c r="AB51" s="727">
        <f t="shared" si="20"/>
        <v>442974.75</v>
      </c>
      <c r="AC51" s="725">
        <v>0.19</v>
      </c>
      <c r="AD51" s="726">
        <f>+AD50*1.5</f>
        <v>4620150</v>
      </c>
      <c r="AE51" s="727">
        <f t="shared" si="21"/>
        <v>497949.5</v>
      </c>
      <c r="AF51" s="725">
        <v>0.19</v>
      </c>
      <c r="AG51" s="726">
        <f>+AG50*1.5</f>
        <v>5130225</v>
      </c>
      <c r="AH51" s="727">
        <f t="shared" si="22"/>
        <v>552924.25</v>
      </c>
      <c r="AI51" s="725">
        <v>0.19</v>
      </c>
      <c r="AJ51" s="726">
        <f>+AJ50*1.5</f>
        <v>5640300</v>
      </c>
      <c r="AK51" s="727">
        <f t="shared" si="23"/>
        <v>607899</v>
      </c>
      <c r="AL51" s="725">
        <v>0.19</v>
      </c>
      <c r="AM51" s="728">
        <f>+AM50*1.5</f>
        <v>6120900</v>
      </c>
      <c r="AN51" s="804">
        <f>ROUND((AM51-AM50)*AO50+AN50,2)</f>
        <v>659697</v>
      </c>
      <c r="AO51" s="725">
        <v>0.19</v>
      </c>
    </row>
    <row r="52" spans="3:41" ht="12.75" customHeight="1" x14ac:dyDescent="0.25">
      <c r="C52" s="797">
        <f>+C51*2</f>
        <v>900000</v>
      </c>
      <c r="D52" s="724">
        <f t="shared" si="24"/>
        <v>134000</v>
      </c>
      <c r="E52" s="725">
        <v>0.23</v>
      </c>
      <c r="F52" s="726">
        <f>+F51*2</f>
        <v>1800000</v>
      </c>
      <c r="G52" s="727">
        <f t="shared" si="13"/>
        <v>268000</v>
      </c>
      <c r="H52" s="725">
        <v>0.23</v>
      </c>
      <c r="I52" s="726">
        <f>+I51*2</f>
        <v>2700000</v>
      </c>
      <c r="J52" s="727">
        <f t="shared" si="14"/>
        <v>402000</v>
      </c>
      <c r="K52" s="725">
        <v>0.23</v>
      </c>
      <c r="L52" s="726">
        <f>+L51*2</f>
        <v>3600000</v>
      </c>
      <c r="M52" s="727">
        <f t="shared" si="15"/>
        <v>536000</v>
      </c>
      <c r="N52" s="725">
        <v>0.23</v>
      </c>
      <c r="O52" s="726">
        <f>+O51*2</f>
        <v>4500000</v>
      </c>
      <c r="P52" s="727">
        <f t="shared" si="16"/>
        <v>670000</v>
      </c>
      <c r="Q52" s="725">
        <v>0.23</v>
      </c>
      <c r="R52" s="726">
        <f>+R51*2</f>
        <v>5400000</v>
      </c>
      <c r="S52" s="727">
        <f t="shared" si="17"/>
        <v>804000</v>
      </c>
      <c r="T52" s="725">
        <v>0.23</v>
      </c>
      <c r="U52" s="726">
        <f>+U51*2</f>
        <v>6300000</v>
      </c>
      <c r="V52" s="727">
        <f t="shared" si="18"/>
        <v>938000</v>
      </c>
      <c r="W52" s="725">
        <v>0.23</v>
      </c>
      <c r="X52" s="726">
        <f>+X51*2</f>
        <v>7200000</v>
      </c>
      <c r="Y52" s="727">
        <f t="shared" si="19"/>
        <v>1072000</v>
      </c>
      <c r="Z52" s="725">
        <v>0.23</v>
      </c>
      <c r="AA52" s="726">
        <f>+AA51*2</f>
        <v>8220150</v>
      </c>
      <c r="AB52" s="727">
        <f t="shared" si="20"/>
        <v>1223889</v>
      </c>
      <c r="AC52" s="725">
        <v>0.23</v>
      </c>
      <c r="AD52" s="726">
        <f>+AD51*2</f>
        <v>9240300</v>
      </c>
      <c r="AE52" s="727">
        <f t="shared" si="21"/>
        <v>1375778</v>
      </c>
      <c r="AF52" s="725">
        <v>0.23</v>
      </c>
      <c r="AG52" s="726">
        <f>+AG51*2</f>
        <v>10260450</v>
      </c>
      <c r="AH52" s="727">
        <f t="shared" si="22"/>
        <v>1527667</v>
      </c>
      <c r="AI52" s="725">
        <v>0.23</v>
      </c>
      <c r="AJ52" s="726">
        <f>+AJ51*2</f>
        <v>11280600</v>
      </c>
      <c r="AK52" s="727">
        <f t="shared" si="23"/>
        <v>1679556</v>
      </c>
      <c r="AL52" s="725">
        <v>0.23</v>
      </c>
      <c r="AM52" s="728">
        <f>+AM51*2</f>
        <v>12241800</v>
      </c>
      <c r="AN52" s="804">
        <f t="shared" ref="AN52:AN54" si="25">ROUND((AM52-AM51)*AO51+AN51,2)</f>
        <v>1822668</v>
      </c>
      <c r="AO52" s="725">
        <v>0.23</v>
      </c>
    </row>
    <row r="53" spans="3:41" ht="12.75" customHeight="1" x14ac:dyDescent="0.25">
      <c r="C53" s="797">
        <f>+C52*1.5</f>
        <v>1350000</v>
      </c>
      <c r="D53" s="724">
        <f t="shared" si="24"/>
        <v>237500</v>
      </c>
      <c r="E53" s="725">
        <v>0.27</v>
      </c>
      <c r="F53" s="726">
        <f>+F52*1.5</f>
        <v>2700000</v>
      </c>
      <c r="G53" s="727">
        <f t="shared" si="13"/>
        <v>475000</v>
      </c>
      <c r="H53" s="725">
        <v>0.27</v>
      </c>
      <c r="I53" s="726">
        <f>+I52*1.5</f>
        <v>4050000</v>
      </c>
      <c r="J53" s="727">
        <f t="shared" si="14"/>
        <v>712500</v>
      </c>
      <c r="K53" s="725">
        <v>0.27</v>
      </c>
      <c r="L53" s="726">
        <f>+L52*1.5</f>
        <v>5400000</v>
      </c>
      <c r="M53" s="727">
        <f t="shared" si="15"/>
        <v>950000</v>
      </c>
      <c r="N53" s="725">
        <v>0.27</v>
      </c>
      <c r="O53" s="726">
        <f>+O52*1.5</f>
        <v>6750000</v>
      </c>
      <c r="P53" s="727">
        <f t="shared" si="16"/>
        <v>1187500</v>
      </c>
      <c r="Q53" s="725">
        <v>0.27</v>
      </c>
      <c r="R53" s="726">
        <f>+R52*1.5</f>
        <v>8100000</v>
      </c>
      <c r="S53" s="727">
        <f t="shared" si="17"/>
        <v>1425000</v>
      </c>
      <c r="T53" s="725">
        <v>0.27</v>
      </c>
      <c r="U53" s="726">
        <f>+U52*1.5</f>
        <v>9450000</v>
      </c>
      <c r="V53" s="727">
        <f t="shared" si="18"/>
        <v>1662500</v>
      </c>
      <c r="W53" s="725">
        <v>0.27</v>
      </c>
      <c r="X53" s="726">
        <f>+X52*1.5</f>
        <v>10800000</v>
      </c>
      <c r="Y53" s="727">
        <f t="shared" si="19"/>
        <v>1900000</v>
      </c>
      <c r="Z53" s="725">
        <v>0.27</v>
      </c>
      <c r="AA53" s="726">
        <f>+AA52*1.5</f>
        <v>12330225</v>
      </c>
      <c r="AB53" s="727">
        <f t="shared" si="20"/>
        <v>2169206.25</v>
      </c>
      <c r="AC53" s="725">
        <v>0.27</v>
      </c>
      <c r="AD53" s="726">
        <f>+AD52*1.5</f>
        <v>13860450</v>
      </c>
      <c r="AE53" s="727">
        <f t="shared" si="21"/>
        <v>2438412.5</v>
      </c>
      <c r="AF53" s="725">
        <v>0.27</v>
      </c>
      <c r="AG53" s="726">
        <f>+AG52*1.5</f>
        <v>15390675</v>
      </c>
      <c r="AH53" s="727">
        <f t="shared" si="22"/>
        <v>2707618.75</v>
      </c>
      <c r="AI53" s="725">
        <v>0.27</v>
      </c>
      <c r="AJ53" s="726">
        <f>+AJ52*1.5</f>
        <v>16920900</v>
      </c>
      <c r="AK53" s="727">
        <f t="shared" si="23"/>
        <v>2976825</v>
      </c>
      <c r="AL53" s="725">
        <v>0.27</v>
      </c>
      <c r="AM53" s="728">
        <f>+AM52*1.5</f>
        <v>18362700</v>
      </c>
      <c r="AN53" s="804">
        <f>ROUND((AM53-AM52)*AO52+AN52,2)</f>
        <v>3230475</v>
      </c>
      <c r="AO53" s="725">
        <v>0.27</v>
      </c>
    </row>
    <row r="54" spans="3:41" ht="12.75" customHeight="1" x14ac:dyDescent="0.25">
      <c r="C54" s="797">
        <f>+C53*1.5</f>
        <v>2025000</v>
      </c>
      <c r="D54" s="724">
        <f t="shared" si="24"/>
        <v>419750</v>
      </c>
      <c r="E54" s="725">
        <v>0.31</v>
      </c>
      <c r="F54" s="726">
        <f>+F53*1.5</f>
        <v>4050000</v>
      </c>
      <c r="G54" s="727">
        <f t="shared" si="13"/>
        <v>839500</v>
      </c>
      <c r="H54" s="725">
        <v>0.31</v>
      </c>
      <c r="I54" s="726">
        <f>+I53*1.5</f>
        <v>6075000</v>
      </c>
      <c r="J54" s="727">
        <f t="shared" si="14"/>
        <v>1259250</v>
      </c>
      <c r="K54" s="725">
        <v>0.31</v>
      </c>
      <c r="L54" s="726">
        <f>+L53*1.5</f>
        <v>8100000</v>
      </c>
      <c r="M54" s="727">
        <f t="shared" si="15"/>
        <v>1679000</v>
      </c>
      <c r="N54" s="725">
        <v>0.31</v>
      </c>
      <c r="O54" s="726">
        <f>+O53*1.5</f>
        <v>10125000</v>
      </c>
      <c r="P54" s="727">
        <f t="shared" si="16"/>
        <v>2098750</v>
      </c>
      <c r="Q54" s="725">
        <v>0.31</v>
      </c>
      <c r="R54" s="726">
        <f>+R53*1.5</f>
        <v>12150000</v>
      </c>
      <c r="S54" s="727">
        <f t="shared" si="17"/>
        <v>2518500</v>
      </c>
      <c r="T54" s="725">
        <v>0.31</v>
      </c>
      <c r="U54" s="726">
        <f>+U53*1.5</f>
        <v>14175000</v>
      </c>
      <c r="V54" s="727">
        <f t="shared" si="18"/>
        <v>2938250</v>
      </c>
      <c r="W54" s="725">
        <v>0.31</v>
      </c>
      <c r="X54" s="726">
        <f>+X53*1.5</f>
        <v>16200000</v>
      </c>
      <c r="Y54" s="727">
        <f t="shared" si="19"/>
        <v>3358000</v>
      </c>
      <c r="Z54" s="725">
        <v>0.31</v>
      </c>
      <c r="AA54" s="726">
        <f>+AA53*1.5</f>
        <v>18495337.5</v>
      </c>
      <c r="AB54" s="727">
        <f t="shared" si="20"/>
        <v>3833786.63</v>
      </c>
      <c r="AC54" s="725">
        <v>0.31</v>
      </c>
      <c r="AD54" s="726">
        <f>+AD53*1.5</f>
        <v>20790675</v>
      </c>
      <c r="AE54" s="727">
        <f t="shared" si="21"/>
        <v>4309573.25</v>
      </c>
      <c r="AF54" s="725">
        <v>0.31</v>
      </c>
      <c r="AG54" s="726">
        <f>+AG53*1.5</f>
        <v>23086012.5</v>
      </c>
      <c r="AH54" s="727">
        <f t="shared" si="22"/>
        <v>4785359.88</v>
      </c>
      <c r="AI54" s="725">
        <v>0.31</v>
      </c>
      <c r="AJ54" s="726">
        <f>+AJ53*1.5</f>
        <v>25381350</v>
      </c>
      <c r="AK54" s="727">
        <f t="shared" si="23"/>
        <v>5261146.5</v>
      </c>
      <c r="AL54" s="725">
        <v>0.31</v>
      </c>
      <c r="AM54" s="728">
        <f>+AM53*1.5</f>
        <v>27544050</v>
      </c>
      <c r="AN54" s="804">
        <f t="shared" si="25"/>
        <v>5709439.5</v>
      </c>
      <c r="AO54" s="725">
        <v>0.31</v>
      </c>
    </row>
    <row r="55" spans="3:41" ht="12.75" customHeight="1" thickBot="1" x14ac:dyDescent="0.3">
      <c r="C55" s="798">
        <f>+C54*1.5</f>
        <v>3037500</v>
      </c>
      <c r="D55" s="729">
        <f t="shared" si="24"/>
        <v>733625</v>
      </c>
      <c r="E55" s="730">
        <v>0.35</v>
      </c>
      <c r="F55" s="731">
        <f>+F54*1.5</f>
        <v>6075000</v>
      </c>
      <c r="G55" s="732">
        <f t="shared" si="13"/>
        <v>1467250</v>
      </c>
      <c r="H55" s="730">
        <v>0.35</v>
      </c>
      <c r="I55" s="731">
        <f>+I54*1.5</f>
        <v>9112500</v>
      </c>
      <c r="J55" s="732">
        <f t="shared" si="14"/>
        <v>2200875</v>
      </c>
      <c r="K55" s="730">
        <v>0.35</v>
      </c>
      <c r="L55" s="731">
        <f>+L54*1.5</f>
        <v>12150000</v>
      </c>
      <c r="M55" s="732">
        <f t="shared" si="15"/>
        <v>2934500</v>
      </c>
      <c r="N55" s="730">
        <v>0.35</v>
      </c>
      <c r="O55" s="731">
        <f>+O54*1.5</f>
        <v>15187500</v>
      </c>
      <c r="P55" s="732">
        <f t="shared" si="16"/>
        <v>3668125</v>
      </c>
      <c r="Q55" s="730">
        <v>0.35</v>
      </c>
      <c r="R55" s="731">
        <f>+R54*1.5</f>
        <v>18225000</v>
      </c>
      <c r="S55" s="732">
        <f t="shared" si="17"/>
        <v>4401750</v>
      </c>
      <c r="T55" s="730">
        <v>0.35</v>
      </c>
      <c r="U55" s="731">
        <f>+U54*1.5</f>
        <v>21262500</v>
      </c>
      <c r="V55" s="732">
        <f t="shared" si="18"/>
        <v>5135375</v>
      </c>
      <c r="W55" s="730">
        <v>0.35</v>
      </c>
      <c r="X55" s="731">
        <f>+X54*1.5</f>
        <v>24300000</v>
      </c>
      <c r="Y55" s="732">
        <f t="shared" si="19"/>
        <v>5869000</v>
      </c>
      <c r="Z55" s="730">
        <v>0.35</v>
      </c>
      <c r="AA55" s="731">
        <f>+AA54*1.5</f>
        <v>27743006.25</v>
      </c>
      <c r="AB55" s="732">
        <f t="shared" si="20"/>
        <v>6700563.9400000004</v>
      </c>
      <c r="AC55" s="730">
        <v>0.35</v>
      </c>
      <c r="AD55" s="731">
        <f>+AD54*1.5</f>
        <v>31186012.5</v>
      </c>
      <c r="AE55" s="732">
        <f t="shared" si="21"/>
        <v>7532127.8799999999</v>
      </c>
      <c r="AF55" s="730">
        <v>0.35</v>
      </c>
      <c r="AG55" s="731">
        <f>+AG54*1.5</f>
        <v>34629018.75</v>
      </c>
      <c r="AH55" s="732">
        <f t="shared" si="22"/>
        <v>8363691.8200000003</v>
      </c>
      <c r="AI55" s="730">
        <v>0.35</v>
      </c>
      <c r="AJ55" s="731">
        <f>+AJ54*1.5</f>
        <v>38072025</v>
      </c>
      <c r="AK55" s="732">
        <f t="shared" si="23"/>
        <v>9195255.75</v>
      </c>
      <c r="AL55" s="730">
        <v>0.35</v>
      </c>
      <c r="AM55" s="805">
        <f>+AM54*1.5</f>
        <v>41316075</v>
      </c>
      <c r="AN55" s="806">
        <f>ROUND((AM55-AM54)*AO54+AN54,2)</f>
        <v>9978767.25</v>
      </c>
      <c r="AO55" s="730">
        <v>0.35</v>
      </c>
    </row>
    <row r="56" spans="3:41" ht="12.75" customHeight="1" x14ac:dyDescent="0.25"/>
    <row r="57" spans="3:41" ht="12.75" customHeight="1" x14ac:dyDescent="0.25"/>
    <row r="58" spans="3:41" ht="12.75" customHeight="1" x14ac:dyDescent="0.25"/>
    <row r="59" spans="3:41" ht="12.75" customHeight="1" x14ac:dyDescent="0.25"/>
    <row r="60" spans="3:41" ht="12.75" customHeight="1" x14ac:dyDescent="0.25"/>
    <row r="61" spans="3:41" ht="12.75" customHeight="1" x14ac:dyDescent="0.25"/>
    <row r="62" spans="3:41" ht="12.75" customHeight="1" x14ac:dyDescent="0.25"/>
    <row r="63" spans="3:41" ht="12.75" customHeight="1" x14ac:dyDescent="0.25"/>
    <row r="64" spans="3:4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sheetData>
  <sheetProtection sheet="1" formatCells="0" formatColumns="0" formatRows="0"/>
  <mergeCells count="15">
    <mergeCell ref="L45:N45"/>
    <mergeCell ref="O45:Q45"/>
    <mergeCell ref="D6:G11"/>
    <mergeCell ref="D2:G2"/>
    <mergeCell ref="C45:E45"/>
    <mergeCell ref="F45:H45"/>
    <mergeCell ref="I45:K45"/>
    <mergeCell ref="AG45:AI45"/>
    <mergeCell ref="AJ45:AL45"/>
    <mergeCell ref="AM45:AO45"/>
    <mergeCell ref="R45:T45"/>
    <mergeCell ref="U45:W45"/>
    <mergeCell ref="X45:Z45"/>
    <mergeCell ref="AA45:AC45"/>
    <mergeCell ref="AD45:AF45"/>
  </mergeCells>
  <pageMargins left="0.35433070866141736" right="0.35433070866141736" top="0.78740157480314965" bottom="0.78740157480314965" header="0.51181102362204722" footer="0.51181102362204722"/>
  <pageSetup paperSize="9" scale="70" orientation="landscape"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P1016"/>
  <sheetViews>
    <sheetView zoomScaleNormal="100" workbookViewId="0">
      <pane xSplit="3" ySplit="1" topLeftCell="D2" activePane="bottomRight" state="frozen"/>
      <selection pane="topRight" activeCell="B1" sqref="B1"/>
      <selection pane="bottomLeft" activeCell="A2" sqref="A2"/>
      <selection pane="bottomRight" activeCell="D2" sqref="D2"/>
    </sheetView>
  </sheetViews>
  <sheetFormatPr baseColWidth="10" defaultColWidth="14.5546875" defaultRowHeight="13.2" x14ac:dyDescent="0.25"/>
  <cols>
    <col min="1" max="2" width="1.33203125" style="137" customWidth="1"/>
    <col min="3" max="3" width="44.44140625" style="137" customWidth="1"/>
    <col min="4" max="15" width="12.109375" style="137" customWidth="1"/>
    <col min="16" max="16" width="14.33203125" style="137" customWidth="1"/>
    <col min="17" max="28" width="10.6640625" style="137" customWidth="1"/>
    <col min="29" max="16384" width="14.5546875" style="137"/>
  </cols>
  <sheetData>
    <row r="1" spans="3:16" s="143" customFormat="1" ht="15.75" customHeight="1" x14ac:dyDescent="0.25">
      <c r="C1" s="145" t="s">
        <v>0</v>
      </c>
      <c r="D1" s="146" t="s">
        <v>1</v>
      </c>
      <c r="E1" s="146" t="s">
        <v>2</v>
      </c>
      <c r="F1" s="146" t="s">
        <v>3</v>
      </c>
      <c r="G1" s="146" t="s">
        <v>4</v>
      </c>
      <c r="H1" s="146" t="s">
        <v>5</v>
      </c>
      <c r="I1" s="146" t="s">
        <v>6</v>
      </c>
      <c r="J1" s="146" t="s">
        <v>7</v>
      </c>
      <c r="K1" s="146" t="s">
        <v>8</v>
      </c>
      <c r="L1" s="146" t="s">
        <v>9</v>
      </c>
      <c r="M1" s="146" t="s">
        <v>10</v>
      </c>
      <c r="N1" s="146" t="s">
        <v>11</v>
      </c>
      <c r="O1" s="146" t="s">
        <v>12</v>
      </c>
      <c r="P1" s="147" t="s">
        <v>13</v>
      </c>
    </row>
    <row r="2" spans="3:16" ht="12.75" customHeight="1" x14ac:dyDescent="0.25">
      <c r="C2" s="546" t="s">
        <v>114</v>
      </c>
      <c r="D2" s="133"/>
      <c r="E2" s="133"/>
      <c r="F2" s="133"/>
      <c r="G2" s="133"/>
      <c r="H2" s="133"/>
      <c r="I2" s="133"/>
      <c r="J2" s="133"/>
      <c r="K2" s="133"/>
      <c r="L2" s="133"/>
      <c r="M2" s="133"/>
      <c r="N2" s="133"/>
      <c r="O2" s="133"/>
      <c r="P2" s="134">
        <f>+SUM($D2:$O2)</f>
        <v>0</v>
      </c>
    </row>
    <row r="3" spans="3:16" ht="12.75" customHeight="1" x14ac:dyDescent="0.25">
      <c r="C3" s="546" t="s">
        <v>14</v>
      </c>
      <c r="D3" s="133"/>
      <c r="E3" s="133"/>
      <c r="F3" s="133"/>
      <c r="G3" s="133"/>
      <c r="H3" s="133"/>
      <c r="I3" s="133"/>
      <c r="J3" s="133"/>
      <c r="K3" s="133"/>
      <c r="L3" s="133"/>
      <c r="M3" s="133"/>
      <c r="N3" s="133"/>
      <c r="O3" s="133"/>
      <c r="P3" s="134">
        <f t="shared" ref="P3:P21" si="0">+SUM($D3:$O3)</f>
        <v>0</v>
      </c>
    </row>
    <row r="4" spans="3:16" ht="12.75" customHeight="1" x14ac:dyDescent="0.25">
      <c r="C4" s="546" t="s">
        <v>61</v>
      </c>
      <c r="D4" s="133"/>
      <c r="E4" s="133"/>
      <c r="F4" s="133"/>
      <c r="G4" s="133"/>
      <c r="H4" s="133"/>
      <c r="I4" s="133"/>
      <c r="J4" s="133"/>
      <c r="K4" s="133"/>
      <c r="L4" s="133"/>
      <c r="M4" s="133"/>
      <c r="N4" s="133"/>
      <c r="O4" s="133"/>
      <c r="P4" s="134">
        <f t="shared" si="0"/>
        <v>0</v>
      </c>
    </row>
    <row r="5" spans="3:16" ht="12.75" customHeight="1" x14ac:dyDescent="0.25">
      <c r="C5" s="546" t="s">
        <v>15</v>
      </c>
      <c r="D5" s="133"/>
      <c r="E5" s="133"/>
      <c r="F5" s="133"/>
      <c r="G5" s="133"/>
      <c r="H5" s="133"/>
      <c r="I5" s="133"/>
      <c r="J5" s="133"/>
      <c r="K5" s="133"/>
      <c r="L5" s="133"/>
      <c r="M5" s="133"/>
      <c r="N5" s="133"/>
      <c r="O5" s="133"/>
      <c r="P5" s="134">
        <f t="shared" si="0"/>
        <v>0</v>
      </c>
    </row>
    <row r="6" spans="3:16" ht="12.75" customHeight="1" x14ac:dyDescent="0.25">
      <c r="C6" s="547" t="s">
        <v>334</v>
      </c>
      <c r="D6" s="133"/>
      <c r="E6" s="133"/>
      <c r="F6" s="133"/>
      <c r="G6" s="133"/>
      <c r="H6" s="133"/>
      <c r="I6" s="133"/>
      <c r="J6" s="133"/>
      <c r="K6" s="133"/>
      <c r="L6" s="133"/>
      <c r="M6" s="133"/>
      <c r="N6" s="133"/>
      <c r="O6" s="133"/>
      <c r="P6" s="134">
        <f t="shared" si="0"/>
        <v>0</v>
      </c>
    </row>
    <row r="7" spans="3:16" ht="12.75" customHeight="1" x14ac:dyDescent="0.25">
      <c r="C7" s="547" t="s">
        <v>335</v>
      </c>
      <c r="D7" s="133"/>
      <c r="E7" s="133"/>
      <c r="F7" s="133"/>
      <c r="G7" s="133"/>
      <c r="H7" s="133"/>
      <c r="I7" s="133"/>
      <c r="J7" s="133"/>
      <c r="K7" s="133"/>
      <c r="L7" s="133"/>
      <c r="M7" s="133"/>
      <c r="N7" s="133"/>
      <c r="O7" s="133"/>
      <c r="P7" s="134">
        <f t="shared" si="0"/>
        <v>0</v>
      </c>
    </row>
    <row r="8" spans="3:16" ht="12.75" customHeight="1" x14ac:dyDescent="0.25">
      <c r="C8" s="643" t="s">
        <v>373</v>
      </c>
      <c r="D8" s="765"/>
      <c r="E8" s="765"/>
      <c r="F8" s="765"/>
      <c r="G8" s="765"/>
      <c r="H8" s="765"/>
      <c r="I8" s="765"/>
      <c r="J8" s="765"/>
      <c r="K8" s="765"/>
      <c r="L8" s="765"/>
      <c r="M8" s="765"/>
      <c r="N8" s="765"/>
      <c r="O8" s="765"/>
      <c r="P8" s="134">
        <f t="shared" si="0"/>
        <v>0</v>
      </c>
    </row>
    <row r="9" spans="3:16" ht="12.75" customHeight="1" x14ac:dyDescent="0.25">
      <c r="C9" s="548" t="s">
        <v>336</v>
      </c>
      <c r="D9" s="133"/>
      <c r="E9" s="133"/>
      <c r="F9" s="133"/>
      <c r="G9" s="133"/>
      <c r="H9" s="133"/>
      <c r="I9" s="133"/>
      <c r="J9" s="133"/>
      <c r="K9" s="133"/>
      <c r="L9" s="133"/>
      <c r="M9" s="133"/>
      <c r="N9" s="133"/>
      <c r="O9" s="133"/>
      <c r="P9" s="134">
        <f t="shared" si="0"/>
        <v>0</v>
      </c>
    </row>
    <row r="10" spans="3:16" ht="12.75" customHeight="1" x14ac:dyDescent="0.25">
      <c r="C10" s="546" t="s">
        <v>52</v>
      </c>
      <c r="D10" s="133"/>
      <c r="E10" s="133"/>
      <c r="F10" s="133"/>
      <c r="G10" s="133"/>
      <c r="H10" s="133"/>
      <c r="I10" s="133"/>
      <c r="J10" s="133"/>
      <c r="K10" s="133"/>
      <c r="L10" s="133"/>
      <c r="M10" s="133"/>
      <c r="N10" s="133"/>
      <c r="O10" s="133"/>
      <c r="P10" s="134">
        <f t="shared" si="0"/>
        <v>0</v>
      </c>
    </row>
    <row r="11" spans="3:16" ht="12.75" customHeight="1" x14ac:dyDescent="0.25">
      <c r="C11" s="546" t="s">
        <v>16</v>
      </c>
      <c r="D11" s="133"/>
      <c r="E11" s="133"/>
      <c r="F11" s="133"/>
      <c r="G11" s="133"/>
      <c r="H11" s="133"/>
      <c r="I11" s="133"/>
      <c r="J11" s="133"/>
      <c r="K11" s="133"/>
      <c r="L11" s="133"/>
      <c r="M11" s="133"/>
      <c r="N11" s="133"/>
      <c r="O11" s="133"/>
      <c r="P11" s="134">
        <f t="shared" si="0"/>
        <v>0</v>
      </c>
    </row>
    <row r="12" spans="3:16" ht="12.75" customHeight="1" x14ac:dyDescent="0.25">
      <c r="C12" s="547" t="s">
        <v>337</v>
      </c>
      <c r="D12" s="133"/>
      <c r="E12" s="133"/>
      <c r="F12" s="133"/>
      <c r="G12" s="133"/>
      <c r="H12" s="133"/>
      <c r="I12" s="133"/>
      <c r="J12" s="133"/>
      <c r="K12" s="133"/>
      <c r="L12" s="133"/>
      <c r="M12" s="133"/>
      <c r="N12" s="133"/>
      <c r="O12" s="133"/>
      <c r="P12" s="134">
        <f t="shared" si="0"/>
        <v>0</v>
      </c>
    </row>
    <row r="13" spans="3:16" ht="12.75" customHeight="1" x14ac:dyDescent="0.25">
      <c r="C13" s="546" t="s">
        <v>17</v>
      </c>
      <c r="D13" s="133"/>
      <c r="E13" s="133"/>
      <c r="F13" s="133"/>
      <c r="G13" s="133"/>
      <c r="H13" s="133"/>
      <c r="I13" s="133"/>
      <c r="J13" s="133"/>
      <c r="K13" s="133"/>
      <c r="L13" s="133"/>
      <c r="M13" s="133"/>
      <c r="N13" s="133"/>
      <c r="O13" s="133"/>
      <c r="P13" s="134">
        <f t="shared" si="0"/>
        <v>0</v>
      </c>
    </row>
    <row r="14" spans="3:16" ht="12.75" customHeight="1" x14ac:dyDescent="0.25">
      <c r="C14" s="546" t="s">
        <v>84</v>
      </c>
      <c r="D14" s="133"/>
      <c r="E14" s="133"/>
      <c r="F14" s="133"/>
      <c r="G14" s="133"/>
      <c r="H14" s="133"/>
      <c r="I14" s="133"/>
      <c r="J14" s="133"/>
      <c r="K14" s="133"/>
      <c r="L14" s="133"/>
      <c r="M14" s="133"/>
      <c r="N14" s="133"/>
      <c r="O14" s="133"/>
      <c r="P14" s="134">
        <f t="shared" si="0"/>
        <v>0</v>
      </c>
    </row>
    <row r="15" spans="3:16" ht="12.75" customHeight="1" x14ac:dyDescent="0.25">
      <c r="C15" s="546" t="s">
        <v>79</v>
      </c>
      <c r="D15" s="133"/>
      <c r="E15" s="133"/>
      <c r="F15" s="133"/>
      <c r="G15" s="133"/>
      <c r="H15" s="133"/>
      <c r="I15" s="133"/>
      <c r="J15" s="133"/>
      <c r="K15" s="133"/>
      <c r="L15" s="133"/>
      <c r="M15" s="133"/>
      <c r="N15" s="133"/>
      <c r="O15" s="133"/>
      <c r="P15" s="134">
        <f t="shared" si="0"/>
        <v>0</v>
      </c>
    </row>
    <row r="16" spans="3:16" ht="12.75" customHeight="1" x14ac:dyDescent="0.25">
      <c r="C16" s="546" t="s">
        <v>80</v>
      </c>
      <c r="D16" s="133"/>
      <c r="E16" s="133"/>
      <c r="F16" s="133"/>
      <c r="G16" s="133"/>
      <c r="H16" s="133"/>
      <c r="I16" s="133"/>
      <c r="J16" s="133"/>
      <c r="K16" s="133"/>
      <c r="L16" s="133"/>
      <c r="M16" s="133"/>
      <c r="N16" s="133"/>
      <c r="O16" s="133"/>
      <c r="P16" s="134">
        <f t="shared" si="0"/>
        <v>0</v>
      </c>
    </row>
    <row r="17" spans="3:16" ht="12.75" customHeight="1" x14ac:dyDescent="0.25">
      <c r="C17" s="546" t="s">
        <v>81</v>
      </c>
      <c r="D17" s="133"/>
      <c r="E17" s="133"/>
      <c r="F17" s="133"/>
      <c r="G17" s="133"/>
      <c r="H17" s="133"/>
      <c r="I17" s="133"/>
      <c r="J17" s="133"/>
      <c r="K17" s="133"/>
      <c r="L17" s="133"/>
      <c r="M17" s="133"/>
      <c r="N17" s="133"/>
      <c r="O17" s="133"/>
      <c r="P17" s="134">
        <f t="shared" si="0"/>
        <v>0</v>
      </c>
    </row>
    <row r="18" spans="3:16" ht="12.75" customHeight="1" x14ac:dyDescent="0.25">
      <c r="C18" s="546" t="s">
        <v>111</v>
      </c>
      <c r="D18" s="133"/>
      <c r="E18" s="133"/>
      <c r="F18" s="133"/>
      <c r="G18" s="133"/>
      <c r="H18" s="133"/>
      <c r="I18" s="133"/>
      <c r="J18" s="133"/>
      <c r="K18" s="133"/>
      <c r="L18" s="133"/>
      <c r="M18" s="133"/>
      <c r="N18" s="133"/>
      <c r="O18" s="133"/>
      <c r="P18" s="134">
        <f t="shared" si="0"/>
        <v>0</v>
      </c>
    </row>
    <row r="19" spans="3:16" ht="12.75" customHeight="1" x14ac:dyDescent="0.25">
      <c r="C19" s="546" t="s">
        <v>112</v>
      </c>
      <c r="D19" s="133"/>
      <c r="E19" s="133"/>
      <c r="F19" s="133"/>
      <c r="G19" s="133"/>
      <c r="H19" s="133"/>
      <c r="I19" s="133"/>
      <c r="J19" s="133"/>
      <c r="K19" s="133"/>
      <c r="L19" s="133"/>
      <c r="M19" s="133"/>
      <c r="N19" s="133"/>
      <c r="O19" s="133"/>
      <c r="P19" s="134">
        <f t="shared" si="0"/>
        <v>0</v>
      </c>
    </row>
    <row r="20" spans="3:16" ht="12.75" customHeight="1" x14ac:dyDescent="0.25">
      <c r="C20" s="642" t="s">
        <v>368</v>
      </c>
      <c r="D20" s="133"/>
      <c r="E20" s="133"/>
      <c r="F20" s="133"/>
      <c r="G20" s="133"/>
      <c r="H20" s="133"/>
      <c r="I20" s="133"/>
      <c r="J20" s="133"/>
      <c r="K20" s="133"/>
      <c r="L20" s="133"/>
      <c r="M20" s="133"/>
      <c r="N20" s="133"/>
      <c r="O20" s="133"/>
      <c r="P20" s="134">
        <f t="shared" si="0"/>
        <v>0</v>
      </c>
    </row>
    <row r="21" spans="3:16" ht="12.75" customHeight="1" x14ac:dyDescent="0.25">
      <c r="C21" s="140" t="s">
        <v>369</v>
      </c>
      <c r="D21" s="133"/>
      <c r="E21" s="133"/>
      <c r="F21" s="133"/>
      <c r="G21" s="133"/>
      <c r="H21" s="133"/>
      <c r="I21" s="133"/>
      <c r="J21" s="133"/>
      <c r="K21" s="133"/>
      <c r="L21" s="133"/>
      <c r="M21" s="133"/>
      <c r="N21" s="133"/>
      <c r="O21" s="133"/>
      <c r="P21" s="134">
        <f t="shared" si="0"/>
        <v>0</v>
      </c>
    </row>
    <row r="22" spans="3:16" ht="12.75" customHeight="1" x14ac:dyDescent="0.25">
      <c r="C22" s="141"/>
      <c r="D22" s="19"/>
      <c r="E22" s="19"/>
      <c r="F22" s="19"/>
      <c r="G22" s="19"/>
      <c r="H22" s="19"/>
      <c r="I22" s="19"/>
      <c r="J22" s="19"/>
      <c r="K22" s="19"/>
      <c r="L22" s="19"/>
      <c r="M22" s="19"/>
      <c r="N22" s="19"/>
      <c r="O22" s="19"/>
      <c r="P22" s="144"/>
    </row>
    <row r="23" spans="3:16" ht="12.75" customHeight="1" x14ac:dyDescent="0.25">
      <c r="C23" s="141"/>
      <c r="D23" s="19"/>
      <c r="E23" s="19"/>
      <c r="F23" s="19"/>
      <c r="G23" s="19"/>
      <c r="H23" s="19"/>
      <c r="I23" s="19"/>
      <c r="J23" s="19"/>
      <c r="K23" s="19"/>
      <c r="L23" s="19"/>
      <c r="M23" s="19"/>
      <c r="N23" s="19"/>
      <c r="O23" s="19"/>
      <c r="P23" s="144"/>
    </row>
    <row r="24" spans="3:16" ht="13.8" thickBot="1" x14ac:dyDescent="0.3"/>
    <row r="25" spans="3:16" s="143" customFormat="1" ht="15" customHeight="1" thickBot="1" x14ac:dyDescent="0.3">
      <c r="C25" s="148" t="s">
        <v>96</v>
      </c>
      <c r="D25" s="149" t="s">
        <v>1</v>
      </c>
      <c r="E25" s="149" t="s">
        <v>2</v>
      </c>
      <c r="F25" s="149" t="s">
        <v>3</v>
      </c>
      <c r="G25" s="149" t="s">
        <v>4</v>
      </c>
      <c r="H25" s="149" t="s">
        <v>5</v>
      </c>
      <c r="I25" s="149" t="s">
        <v>6</v>
      </c>
      <c r="J25" s="149" t="s">
        <v>7</v>
      </c>
      <c r="K25" s="149" t="s">
        <v>8</v>
      </c>
      <c r="L25" s="149" t="s">
        <v>9</v>
      </c>
      <c r="M25" s="149" t="s">
        <v>10</v>
      </c>
      <c r="N25" s="149" t="s">
        <v>11</v>
      </c>
      <c r="O25" s="150" t="s">
        <v>12</v>
      </c>
    </row>
    <row r="26" spans="3:16" ht="12.75" customHeight="1" x14ac:dyDescent="0.25">
      <c r="C26" s="151" t="s">
        <v>50</v>
      </c>
      <c r="D26" s="114">
        <v>0</v>
      </c>
      <c r="E26" s="114">
        <v>0</v>
      </c>
      <c r="F26" s="114">
        <v>0</v>
      </c>
      <c r="G26" s="114">
        <v>0</v>
      </c>
      <c r="H26" s="114">
        <v>0</v>
      </c>
      <c r="I26" s="114">
        <v>0</v>
      </c>
      <c r="J26" s="114">
        <v>0</v>
      </c>
      <c r="K26" s="114">
        <v>0</v>
      </c>
      <c r="L26" s="114">
        <v>0</v>
      </c>
      <c r="M26" s="114">
        <v>0</v>
      </c>
      <c r="N26" s="114">
        <v>0</v>
      </c>
      <c r="O26" s="114">
        <v>0</v>
      </c>
    </row>
    <row r="27" spans="3:16" ht="12.75" customHeight="1" x14ac:dyDescent="0.25">
      <c r="C27" s="152" t="s">
        <v>298</v>
      </c>
      <c r="D27" s="115">
        <v>0</v>
      </c>
      <c r="E27" s="115">
        <v>0</v>
      </c>
      <c r="F27" s="115">
        <v>0</v>
      </c>
      <c r="G27" s="115">
        <v>0</v>
      </c>
      <c r="H27" s="115">
        <v>0</v>
      </c>
      <c r="I27" s="115">
        <v>0</v>
      </c>
      <c r="J27" s="115">
        <v>0</v>
      </c>
      <c r="K27" s="115">
        <v>0</v>
      </c>
      <c r="L27" s="115">
        <v>0</v>
      </c>
      <c r="M27" s="115">
        <v>0</v>
      </c>
      <c r="N27" s="115">
        <v>0</v>
      </c>
      <c r="O27" s="115">
        <v>0</v>
      </c>
    </row>
    <row r="28" spans="3:16" ht="12.75" customHeight="1" x14ac:dyDescent="0.25">
      <c r="C28" s="152" t="s">
        <v>297</v>
      </c>
      <c r="D28" s="115">
        <v>0</v>
      </c>
      <c r="E28" s="115">
        <v>0</v>
      </c>
      <c r="F28" s="115">
        <v>0</v>
      </c>
      <c r="G28" s="115">
        <v>0</v>
      </c>
      <c r="H28" s="115">
        <v>0</v>
      </c>
      <c r="I28" s="115">
        <v>0</v>
      </c>
      <c r="J28" s="115">
        <v>0</v>
      </c>
      <c r="K28" s="115">
        <v>0</v>
      </c>
      <c r="L28" s="115">
        <v>0</v>
      </c>
      <c r="M28" s="115">
        <v>0</v>
      </c>
      <c r="N28" s="115">
        <v>0</v>
      </c>
      <c r="O28" s="115">
        <v>0</v>
      </c>
    </row>
    <row r="29" spans="3:16" ht="12.75" customHeight="1" x14ac:dyDescent="0.25">
      <c r="C29" s="153" t="s">
        <v>296</v>
      </c>
      <c r="D29" s="115">
        <v>0</v>
      </c>
      <c r="E29" s="115">
        <v>0</v>
      </c>
      <c r="F29" s="115">
        <v>0</v>
      </c>
      <c r="G29" s="115">
        <v>0</v>
      </c>
      <c r="H29" s="115">
        <v>0</v>
      </c>
      <c r="I29" s="115">
        <v>0</v>
      </c>
      <c r="J29" s="115">
        <v>0</v>
      </c>
      <c r="K29" s="115">
        <v>0</v>
      </c>
      <c r="L29" s="115">
        <v>0</v>
      </c>
      <c r="M29" s="115">
        <v>0</v>
      </c>
      <c r="N29" s="115">
        <v>0</v>
      </c>
      <c r="O29" s="115">
        <v>0</v>
      </c>
    </row>
    <row r="30" spans="3:16" ht="12.75" customHeight="1" x14ac:dyDescent="0.25">
      <c r="C30" s="153" t="s">
        <v>295</v>
      </c>
      <c r="D30" s="115">
        <v>0</v>
      </c>
      <c r="E30" s="115">
        <v>0</v>
      </c>
      <c r="F30" s="115">
        <v>0</v>
      </c>
      <c r="G30" s="115">
        <v>0</v>
      </c>
      <c r="H30" s="115">
        <v>0</v>
      </c>
      <c r="I30" s="115">
        <v>0</v>
      </c>
      <c r="J30" s="115">
        <v>0</v>
      </c>
      <c r="K30" s="115">
        <v>0</v>
      </c>
      <c r="L30" s="115">
        <v>0</v>
      </c>
      <c r="M30" s="115">
        <v>0</v>
      </c>
      <c r="N30" s="115">
        <v>0</v>
      </c>
      <c r="O30" s="115">
        <v>0</v>
      </c>
    </row>
    <row r="31" spans="3:16" ht="12.75" customHeight="1" x14ac:dyDescent="0.25"/>
    <row r="32" spans="3:16" ht="12.75" customHeight="1" x14ac:dyDescent="0.25"/>
    <row r="33" spans="4:15" ht="12.75" customHeight="1" x14ac:dyDescent="0.25"/>
    <row r="34" spans="4:15" ht="12.75" customHeight="1" x14ac:dyDescent="0.25"/>
    <row r="35" spans="4:15" ht="12.75" customHeight="1" x14ac:dyDescent="0.25">
      <c r="D35" s="816" t="s">
        <v>98</v>
      </c>
      <c r="E35" s="817"/>
      <c r="F35" s="817"/>
      <c r="G35" s="817"/>
      <c r="H35" s="817"/>
      <c r="I35" s="817"/>
      <c r="J35" s="817"/>
      <c r="K35" s="817"/>
      <c r="L35" s="817"/>
      <c r="M35" s="817"/>
      <c r="N35" s="817"/>
      <c r="O35" s="818"/>
    </row>
    <row r="36" spans="4:15" ht="12.75" customHeight="1" x14ac:dyDescent="0.25">
      <c r="D36" s="819"/>
      <c r="E36" s="820"/>
      <c r="F36" s="820"/>
      <c r="G36" s="820"/>
      <c r="H36" s="820"/>
      <c r="I36" s="820"/>
      <c r="J36" s="820"/>
      <c r="K36" s="820"/>
      <c r="L36" s="820"/>
      <c r="M36" s="820"/>
      <c r="N36" s="820"/>
      <c r="O36" s="821"/>
    </row>
    <row r="37" spans="4:15" ht="12.75" customHeight="1" x14ac:dyDescent="0.25">
      <c r="D37" s="819"/>
      <c r="E37" s="820"/>
      <c r="F37" s="820"/>
      <c r="G37" s="820"/>
      <c r="H37" s="820"/>
      <c r="I37" s="820"/>
      <c r="J37" s="820"/>
      <c r="K37" s="820"/>
      <c r="L37" s="820"/>
      <c r="M37" s="820"/>
      <c r="N37" s="820"/>
      <c r="O37" s="821"/>
    </row>
    <row r="38" spans="4:15" ht="12.75" customHeight="1" x14ac:dyDescent="0.25">
      <c r="D38" s="819"/>
      <c r="E38" s="820"/>
      <c r="F38" s="820"/>
      <c r="G38" s="820"/>
      <c r="H38" s="820"/>
      <c r="I38" s="820"/>
      <c r="J38" s="820"/>
      <c r="K38" s="820"/>
      <c r="L38" s="820"/>
      <c r="M38" s="820"/>
      <c r="N38" s="820"/>
      <c r="O38" s="821"/>
    </row>
    <row r="39" spans="4:15" ht="12.75" customHeight="1" x14ac:dyDescent="0.25">
      <c r="D39" s="819"/>
      <c r="E39" s="820"/>
      <c r="F39" s="820"/>
      <c r="G39" s="820"/>
      <c r="H39" s="820"/>
      <c r="I39" s="820"/>
      <c r="J39" s="820"/>
      <c r="K39" s="820"/>
      <c r="L39" s="820"/>
      <c r="M39" s="820"/>
      <c r="N39" s="820"/>
      <c r="O39" s="821"/>
    </row>
    <row r="40" spans="4:15" ht="12.75" customHeight="1" x14ac:dyDescent="0.25">
      <c r="D40" s="819"/>
      <c r="E40" s="820"/>
      <c r="F40" s="820"/>
      <c r="G40" s="820"/>
      <c r="H40" s="820"/>
      <c r="I40" s="820"/>
      <c r="J40" s="820"/>
      <c r="K40" s="820"/>
      <c r="L40" s="820"/>
      <c r="M40" s="820"/>
      <c r="N40" s="820"/>
      <c r="O40" s="821"/>
    </row>
    <row r="41" spans="4:15" ht="12.75" customHeight="1" x14ac:dyDescent="0.25">
      <c r="D41" s="819"/>
      <c r="E41" s="820"/>
      <c r="F41" s="820"/>
      <c r="G41" s="820"/>
      <c r="H41" s="820"/>
      <c r="I41" s="820"/>
      <c r="J41" s="820"/>
      <c r="K41" s="820"/>
      <c r="L41" s="820"/>
      <c r="M41" s="820"/>
      <c r="N41" s="820"/>
      <c r="O41" s="821"/>
    </row>
    <row r="42" spans="4:15" ht="12.75" customHeight="1" x14ac:dyDescent="0.25">
      <c r="D42" s="819"/>
      <c r="E42" s="820"/>
      <c r="F42" s="820"/>
      <c r="G42" s="820"/>
      <c r="H42" s="820"/>
      <c r="I42" s="820"/>
      <c r="J42" s="820"/>
      <c r="K42" s="820"/>
      <c r="L42" s="820"/>
      <c r="M42" s="820"/>
      <c r="N42" s="820"/>
      <c r="O42" s="821"/>
    </row>
    <row r="43" spans="4:15" ht="12.75" customHeight="1" x14ac:dyDescent="0.25">
      <c r="D43" s="819"/>
      <c r="E43" s="820"/>
      <c r="F43" s="820"/>
      <c r="G43" s="820"/>
      <c r="H43" s="820"/>
      <c r="I43" s="820"/>
      <c r="J43" s="820"/>
      <c r="K43" s="820"/>
      <c r="L43" s="820"/>
      <c r="M43" s="820"/>
      <c r="N43" s="820"/>
      <c r="O43" s="821"/>
    </row>
    <row r="44" spans="4:15" ht="12.75" customHeight="1" x14ac:dyDescent="0.25">
      <c r="D44" s="819"/>
      <c r="E44" s="820"/>
      <c r="F44" s="820"/>
      <c r="G44" s="820"/>
      <c r="H44" s="820"/>
      <c r="I44" s="820"/>
      <c r="J44" s="820"/>
      <c r="K44" s="820"/>
      <c r="L44" s="820"/>
      <c r="M44" s="820"/>
      <c r="N44" s="820"/>
      <c r="O44" s="821"/>
    </row>
    <row r="45" spans="4:15" ht="12.75" customHeight="1" x14ac:dyDescent="0.25">
      <c r="D45" s="819"/>
      <c r="E45" s="820"/>
      <c r="F45" s="820"/>
      <c r="G45" s="820"/>
      <c r="H45" s="820"/>
      <c r="I45" s="820"/>
      <c r="J45" s="820"/>
      <c r="K45" s="820"/>
      <c r="L45" s="820"/>
      <c r="M45" s="820"/>
      <c r="N45" s="820"/>
      <c r="O45" s="821"/>
    </row>
    <row r="46" spans="4:15" ht="12.75" customHeight="1" x14ac:dyDescent="0.25">
      <c r="D46" s="819"/>
      <c r="E46" s="820"/>
      <c r="F46" s="820"/>
      <c r="G46" s="820"/>
      <c r="H46" s="820"/>
      <c r="I46" s="820"/>
      <c r="J46" s="820"/>
      <c r="K46" s="820"/>
      <c r="L46" s="820"/>
      <c r="M46" s="820"/>
      <c r="N46" s="820"/>
      <c r="O46" s="821"/>
    </row>
    <row r="47" spans="4:15" ht="12.75" customHeight="1" x14ac:dyDescent="0.25">
      <c r="D47" s="822"/>
      <c r="E47" s="823"/>
      <c r="F47" s="823"/>
      <c r="G47" s="823"/>
      <c r="H47" s="823"/>
      <c r="I47" s="823"/>
      <c r="J47" s="823"/>
      <c r="K47" s="823"/>
      <c r="L47" s="823"/>
      <c r="M47" s="823"/>
      <c r="N47" s="823"/>
      <c r="O47" s="824"/>
    </row>
    <row r="48" spans="4:15" ht="12.75" customHeight="1" x14ac:dyDescent="0.25"/>
    <row r="49" spans="4:15" ht="12.75" customHeight="1" x14ac:dyDescent="0.25">
      <c r="D49" s="816" t="s">
        <v>97</v>
      </c>
      <c r="E49" s="825"/>
      <c r="F49" s="825"/>
      <c r="G49" s="825"/>
      <c r="H49" s="825"/>
      <c r="I49" s="825"/>
      <c r="J49" s="825"/>
      <c r="K49" s="825"/>
      <c r="L49" s="825"/>
      <c r="M49" s="825"/>
      <c r="N49" s="825"/>
      <c r="O49" s="826"/>
    </row>
    <row r="50" spans="4:15" ht="12.75" customHeight="1" x14ac:dyDescent="0.25">
      <c r="D50" s="827"/>
      <c r="E50" s="828"/>
      <c r="F50" s="828"/>
      <c r="G50" s="828"/>
      <c r="H50" s="828"/>
      <c r="I50" s="828"/>
      <c r="J50" s="828"/>
      <c r="K50" s="828"/>
      <c r="L50" s="828"/>
      <c r="M50" s="828"/>
      <c r="N50" s="828"/>
      <c r="O50" s="829"/>
    </row>
    <row r="51" spans="4:15" ht="12.75" customHeight="1" x14ac:dyDescent="0.25">
      <c r="D51" s="827"/>
      <c r="E51" s="828"/>
      <c r="F51" s="828"/>
      <c r="G51" s="828"/>
      <c r="H51" s="828"/>
      <c r="I51" s="828"/>
      <c r="J51" s="828"/>
      <c r="K51" s="828"/>
      <c r="L51" s="828"/>
      <c r="M51" s="828"/>
      <c r="N51" s="828"/>
      <c r="O51" s="829"/>
    </row>
    <row r="52" spans="4:15" ht="12.75" customHeight="1" x14ac:dyDescent="0.25">
      <c r="D52" s="827"/>
      <c r="E52" s="828"/>
      <c r="F52" s="828"/>
      <c r="G52" s="828"/>
      <c r="H52" s="828"/>
      <c r="I52" s="828"/>
      <c r="J52" s="828"/>
      <c r="K52" s="828"/>
      <c r="L52" s="828"/>
      <c r="M52" s="828"/>
      <c r="N52" s="828"/>
      <c r="O52" s="829"/>
    </row>
    <row r="53" spans="4:15" ht="12.75" customHeight="1" x14ac:dyDescent="0.25">
      <c r="D53" s="830"/>
      <c r="E53" s="831"/>
      <c r="F53" s="831"/>
      <c r="G53" s="831"/>
      <c r="H53" s="831"/>
      <c r="I53" s="831"/>
      <c r="J53" s="831"/>
      <c r="K53" s="831"/>
      <c r="L53" s="831"/>
      <c r="M53" s="831"/>
      <c r="N53" s="831"/>
      <c r="O53" s="832"/>
    </row>
    <row r="54" spans="4:15" ht="12.75" customHeight="1" x14ac:dyDescent="0.25"/>
    <row r="55" spans="4:15" ht="12.75" customHeight="1" x14ac:dyDescent="0.25"/>
    <row r="56" spans="4:15" ht="12.75" customHeight="1" x14ac:dyDescent="0.25"/>
    <row r="57" spans="4:15" ht="12.75" customHeight="1" x14ac:dyDescent="0.25"/>
    <row r="58" spans="4:15" ht="12.75" customHeight="1" x14ac:dyDescent="0.25"/>
    <row r="59" spans="4:15" ht="12.75" customHeight="1" x14ac:dyDescent="0.25"/>
    <row r="60" spans="4:15" ht="12.75" customHeight="1" x14ac:dyDescent="0.25"/>
    <row r="61" spans="4:15" ht="12.75" customHeight="1" x14ac:dyDescent="0.25"/>
    <row r="62" spans="4:15" ht="12.75" customHeight="1" x14ac:dyDescent="0.25"/>
    <row r="63" spans="4:15" ht="12.75" customHeight="1" x14ac:dyDescent="0.25"/>
    <row r="64" spans="4:15"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row r="1003" ht="12.75" customHeight="1" x14ac:dyDescent="0.25"/>
    <row r="1004" ht="12.75" customHeight="1" x14ac:dyDescent="0.25"/>
    <row r="1005" ht="12.75" customHeight="1" x14ac:dyDescent="0.25"/>
    <row r="1006" ht="12.75" customHeight="1" x14ac:dyDescent="0.25"/>
    <row r="1007" ht="12.75" customHeight="1" x14ac:dyDescent="0.25"/>
    <row r="1008" ht="12.75" customHeight="1" x14ac:dyDescent="0.25"/>
    <row r="1009" ht="12.75" customHeight="1" x14ac:dyDescent="0.25"/>
    <row r="1010" ht="12.75" customHeight="1" x14ac:dyDescent="0.25"/>
    <row r="1011" ht="12.75" customHeight="1" x14ac:dyDescent="0.25"/>
    <row r="1012" ht="12.75" customHeight="1" x14ac:dyDescent="0.25"/>
    <row r="1013" ht="12.75" customHeight="1" x14ac:dyDescent="0.25"/>
    <row r="1014" ht="12.75" customHeight="1" x14ac:dyDescent="0.25"/>
    <row r="1015" ht="12.75" customHeight="1" x14ac:dyDescent="0.25"/>
    <row r="1016" ht="12.75" customHeight="1" x14ac:dyDescent="0.25"/>
  </sheetData>
  <sheetProtection sheet="1" formatCells="0" formatColumns="0" formatRows="0" insertColumns="0" insertRows="0" insertHyperlinks="0" deleteColumns="0" deleteRows="0" sort="0" autoFilter="0" pivotTables="0"/>
  <mergeCells count="2">
    <mergeCell ref="D35:O47"/>
    <mergeCell ref="D49:O53"/>
  </mergeCells>
  <dataValidations count="1">
    <dataValidation type="list" allowBlank="1" showErrorMessage="1" sqref="D26:O26" xr:uid="{FE5AE246-9EE3-4C86-B85A-EBF035516282}">
      <formula1>"1,0"</formula1>
    </dataValidation>
  </dataValidations>
  <pageMargins left="0.31496062992125984" right="0.11811023622047245" top="0.74803149606299213" bottom="0.74803149606299213" header="0.51181102362204722" footer="0.51181102362204722"/>
  <pageSetup scale="66" orientation="landscape" horizontalDpi="300" verticalDpi="300" r:id="rId1"/>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pageSetUpPr fitToPage="1"/>
  </sheetPr>
  <dimension ref="A1:V1246"/>
  <sheetViews>
    <sheetView zoomScaleNormal="100" zoomScaleSheetLayoutView="100" workbookViewId="0">
      <pane xSplit="1" ySplit="4" topLeftCell="B5" activePane="bottomRight" state="frozen"/>
      <selection pane="topRight" activeCell="B1" sqref="B1"/>
      <selection pane="bottomLeft" activeCell="A4" sqref="A4"/>
      <selection pane="bottomRight" activeCell="D7" sqref="D7"/>
    </sheetView>
  </sheetViews>
  <sheetFormatPr baseColWidth="10" defaultColWidth="14.5546875" defaultRowHeight="13.2" x14ac:dyDescent="0.25"/>
  <cols>
    <col min="1" max="1" width="71.6640625" style="143" customWidth="1"/>
    <col min="2" max="2" width="5.33203125" style="161" customWidth="1"/>
    <col min="3" max="3" width="5.5546875" style="161" bestFit="1" customWidth="1"/>
    <col min="4" max="15" width="14.109375" style="143" customWidth="1"/>
    <col min="16" max="17" width="21" style="143" customWidth="1"/>
    <col min="18" max="18" width="23.109375" style="143" customWidth="1"/>
    <col min="19" max="19" width="15.5546875" style="143" customWidth="1"/>
    <col min="20" max="20" width="14.6640625" style="143" customWidth="1"/>
    <col min="21" max="21" width="38.77734375" style="485" customWidth="1"/>
    <col min="22" max="22" width="10.6640625" style="485" customWidth="1"/>
    <col min="23" max="28" width="10.6640625" style="143" customWidth="1"/>
    <col min="29" max="16384" width="14.5546875" style="143"/>
  </cols>
  <sheetData>
    <row r="1" spans="1:18" ht="15.75" customHeight="1" x14ac:dyDescent="0.25">
      <c r="A1" s="156"/>
      <c r="B1" s="157"/>
      <c r="C1" s="158"/>
      <c r="D1" s="156"/>
      <c r="F1" s="159" t="s">
        <v>100</v>
      </c>
      <c r="L1" s="493" t="s">
        <v>19</v>
      </c>
      <c r="M1" s="494">
        <f>+Parametros!B2</f>
        <v>2024</v>
      </c>
      <c r="N1" s="495" t="s">
        <v>20</v>
      </c>
      <c r="O1" s="496" t="str">
        <f>+Parametros!B11</f>
        <v>NO</v>
      </c>
    </row>
    <row r="2" spans="1:18" ht="14.25" customHeight="1" x14ac:dyDescent="0.25">
      <c r="A2" s="294" t="s">
        <v>99</v>
      </c>
      <c r="B2" s="160"/>
      <c r="D2" s="60" t="s">
        <v>319</v>
      </c>
      <c r="E2" s="60" t="s">
        <v>319</v>
      </c>
      <c r="F2" s="60" t="s">
        <v>319</v>
      </c>
      <c r="G2" s="60" t="s">
        <v>319</v>
      </c>
      <c r="H2" s="60" t="s">
        <v>319</v>
      </c>
      <c r="I2" s="60" t="s">
        <v>319</v>
      </c>
      <c r="J2" s="60" t="s">
        <v>319</v>
      </c>
      <c r="K2" s="60" t="s">
        <v>319</v>
      </c>
      <c r="L2" s="60" t="s">
        <v>319</v>
      </c>
      <c r="M2" s="60" t="s">
        <v>319</v>
      </c>
      <c r="N2" s="60" t="s">
        <v>319</v>
      </c>
      <c r="O2" s="60" t="s">
        <v>319</v>
      </c>
      <c r="P2" s="162"/>
      <c r="Q2" s="162"/>
    </row>
    <row r="3" spans="1:18" ht="14.25" customHeight="1" thickBot="1" x14ac:dyDescent="0.3">
      <c r="A3" s="160"/>
      <c r="B3" s="160"/>
      <c r="D3" s="135"/>
      <c r="E3" s="135"/>
      <c r="F3" s="135"/>
      <c r="G3" s="135"/>
      <c r="H3" s="135"/>
      <c r="I3" s="135"/>
      <c r="J3" s="135"/>
      <c r="K3" s="135"/>
      <c r="L3" s="135"/>
      <c r="M3" s="135"/>
      <c r="N3" s="135"/>
      <c r="O3" s="135"/>
      <c r="P3" s="514" t="s">
        <v>322</v>
      </c>
      <c r="Q3" s="162"/>
    </row>
    <row r="4" spans="1:18" ht="27.6" customHeight="1" thickBot="1" x14ac:dyDescent="0.3">
      <c r="A4" s="295" t="s">
        <v>101</v>
      </c>
      <c r="B4" s="296" t="s">
        <v>299</v>
      </c>
      <c r="C4" s="296" t="s">
        <v>224</v>
      </c>
      <c r="D4" s="297">
        <v>44197</v>
      </c>
      <c r="E4" s="298">
        <v>44228</v>
      </c>
      <c r="F4" s="298">
        <v>44256</v>
      </c>
      <c r="G4" s="298">
        <v>44287</v>
      </c>
      <c r="H4" s="298">
        <v>44317</v>
      </c>
      <c r="I4" s="298">
        <v>44348</v>
      </c>
      <c r="J4" s="298">
        <v>44378</v>
      </c>
      <c r="K4" s="298">
        <v>44409</v>
      </c>
      <c r="L4" s="298">
        <v>44440</v>
      </c>
      <c r="M4" s="298">
        <v>44470</v>
      </c>
      <c r="N4" s="298">
        <v>44501</v>
      </c>
      <c r="O4" s="299">
        <v>44531</v>
      </c>
      <c r="P4" s="300" t="s">
        <v>127</v>
      </c>
      <c r="Q4" s="301" t="s">
        <v>128</v>
      </c>
    </row>
    <row r="5" spans="1:18" ht="22.2" customHeight="1" x14ac:dyDescent="0.25">
      <c r="A5" s="302" t="s">
        <v>129</v>
      </c>
      <c r="B5" s="303"/>
      <c r="C5" s="303"/>
      <c r="D5" s="303"/>
      <c r="E5" s="303"/>
      <c r="F5" s="303"/>
      <c r="G5" s="303"/>
      <c r="H5" s="303"/>
      <c r="I5" s="303"/>
      <c r="J5" s="303"/>
      <c r="K5" s="303"/>
      <c r="L5" s="303"/>
      <c r="M5" s="303"/>
      <c r="N5" s="303"/>
      <c r="O5" s="303"/>
      <c r="P5" s="165"/>
      <c r="Q5" s="165"/>
      <c r="R5" s="166"/>
    </row>
    <row r="6" spans="1:18" ht="22.2" customHeight="1" x14ac:dyDescent="0.25">
      <c r="A6" s="304" t="s">
        <v>130</v>
      </c>
      <c r="B6" s="305"/>
      <c r="C6" s="305"/>
      <c r="D6" s="305"/>
      <c r="E6" s="305"/>
      <c r="F6" s="305"/>
      <c r="G6" s="305"/>
      <c r="H6" s="305"/>
      <c r="I6" s="305"/>
      <c r="J6" s="305"/>
      <c r="K6" s="305"/>
      <c r="L6" s="305"/>
      <c r="M6" s="305"/>
      <c r="N6" s="305"/>
      <c r="O6" s="305"/>
      <c r="P6" s="165"/>
      <c r="Q6" s="165"/>
      <c r="R6" s="166"/>
    </row>
    <row r="7" spans="1:18" ht="12.75" customHeight="1" x14ac:dyDescent="0.25">
      <c r="A7" s="306" t="s">
        <v>196</v>
      </c>
      <c r="B7" s="310" t="s">
        <v>300</v>
      </c>
      <c r="C7" s="311" t="s">
        <v>222</v>
      </c>
      <c r="D7" s="55"/>
      <c r="E7" s="55"/>
      <c r="F7" s="55"/>
      <c r="G7" s="55"/>
      <c r="H7" s="55"/>
      <c r="I7" s="55"/>
      <c r="J7" s="55"/>
      <c r="K7" s="55"/>
      <c r="L7" s="55"/>
      <c r="M7" s="55"/>
      <c r="N7" s="55"/>
      <c r="O7" s="55"/>
      <c r="P7" s="70">
        <f>SUM(D7:O7)</f>
        <v>0</v>
      </c>
      <c r="Q7" s="77"/>
      <c r="R7" s="166"/>
    </row>
    <row r="8" spans="1:18" ht="12.75" customHeight="1" x14ac:dyDescent="0.25">
      <c r="A8" s="306" t="s">
        <v>202</v>
      </c>
      <c r="B8" s="310" t="s">
        <v>300</v>
      </c>
      <c r="C8" s="311" t="s">
        <v>223</v>
      </c>
      <c r="D8" s="55"/>
      <c r="E8" s="55"/>
      <c r="F8" s="55"/>
      <c r="G8" s="55"/>
      <c r="H8" s="55"/>
      <c r="I8" s="55"/>
      <c r="J8" s="55"/>
      <c r="K8" s="55"/>
      <c r="L8" s="55"/>
      <c r="M8" s="55"/>
      <c r="N8" s="55"/>
      <c r="O8" s="55"/>
      <c r="P8" s="70">
        <f>SUM(D8:O8)</f>
        <v>0</v>
      </c>
      <c r="Q8" s="77"/>
      <c r="R8" s="166"/>
    </row>
    <row r="9" spans="1:18" ht="12.75" customHeight="1" x14ac:dyDescent="0.25">
      <c r="A9" s="306" t="s">
        <v>197</v>
      </c>
      <c r="B9" s="310" t="s">
        <v>301</v>
      </c>
      <c r="C9" s="311" t="s">
        <v>222</v>
      </c>
      <c r="D9" s="55"/>
      <c r="E9" s="55"/>
      <c r="F9" s="55"/>
      <c r="G9" s="55"/>
      <c r="H9" s="55"/>
      <c r="I9" s="55"/>
      <c r="J9" s="55"/>
      <c r="K9" s="55"/>
      <c r="L9" s="55"/>
      <c r="M9" s="55"/>
      <c r="N9" s="55"/>
      <c r="O9" s="55"/>
      <c r="P9" s="70">
        <f t="shared" ref="P9:P18" si="0">SUM(D9:O9)</f>
        <v>0</v>
      </c>
      <c r="Q9" s="77"/>
      <c r="R9" s="166"/>
    </row>
    <row r="10" spans="1:18" ht="12.75" customHeight="1" x14ac:dyDescent="0.25">
      <c r="A10" s="306" t="s">
        <v>203</v>
      </c>
      <c r="B10" s="310" t="s">
        <v>301</v>
      </c>
      <c r="C10" s="311" t="s">
        <v>223</v>
      </c>
      <c r="D10" s="55"/>
      <c r="E10" s="55"/>
      <c r="F10" s="55"/>
      <c r="G10" s="55"/>
      <c r="H10" s="55"/>
      <c r="I10" s="55"/>
      <c r="J10" s="55"/>
      <c r="K10" s="55"/>
      <c r="L10" s="55"/>
      <c r="M10" s="55"/>
      <c r="N10" s="55"/>
      <c r="O10" s="55"/>
      <c r="P10" s="70">
        <f t="shared" si="0"/>
        <v>0</v>
      </c>
      <c r="Q10" s="77"/>
      <c r="R10" s="166"/>
    </row>
    <row r="11" spans="1:18" ht="12.75" customHeight="1" x14ac:dyDescent="0.25">
      <c r="A11" s="306" t="s">
        <v>351</v>
      </c>
      <c r="B11" s="310" t="s">
        <v>300</v>
      </c>
      <c r="C11" s="311" t="s">
        <v>222</v>
      </c>
      <c r="D11" s="55"/>
      <c r="E11" s="55"/>
      <c r="F11" s="55"/>
      <c r="G11" s="55"/>
      <c r="H11" s="55"/>
      <c r="I11" s="55"/>
      <c r="J11" s="55"/>
      <c r="K11" s="55"/>
      <c r="L11" s="55"/>
      <c r="M11" s="55"/>
      <c r="N11" s="55"/>
      <c r="O11" s="55"/>
      <c r="P11" s="70">
        <f t="shared" si="0"/>
        <v>0</v>
      </c>
      <c r="Q11" s="77"/>
      <c r="R11" s="166"/>
    </row>
    <row r="12" spans="1:18" ht="12.75" customHeight="1" x14ac:dyDescent="0.25">
      <c r="A12" s="306" t="s">
        <v>352</v>
      </c>
      <c r="B12" s="310" t="s">
        <v>300</v>
      </c>
      <c r="C12" s="108" t="s">
        <v>222</v>
      </c>
      <c r="D12" s="55"/>
      <c r="E12" s="55"/>
      <c r="F12" s="55"/>
      <c r="G12" s="55"/>
      <c r="H12" s="55"/>
      <c r="I12" s="55"/>
      <c r="J12" s="55"/>
      <c r="K12" s="55"/>
      <c r="L12" s="55"/>
      <c r="M12" s="55"/>
      <c r="N12" s="55"/>
      <c r="O12" s="55"/>
      <c r="P12" s="70">
        <f t="shared" si="0"/>
        <v>0</v>
      </c>
      <c r="Q12" s="77"/>
      <c r="R12" s="166"/>
    </row>
    <row r="13" spans="1:18" ht="12.75" customHeight="1" x14ac:dyDescent="0.25">
      <c r="A13" s="306" t="s">
        <v>353</v>
      </c>
      <c r="B13" s="310" t="s">
        <v>300</v>
      </c>
      <c r="C13" s="108" t="s">
        <v>222</v>
      </c>
      <c r="D13" s="55"/>
      <c r="E13" s="55"/>
      <c r="F13" s="55"/>
      <c r="G13" s="55"/>
      <c r="H13" s="55"/>
      <c r="I13" s="55"/>
      <c r="J13" s="55"/>
      <c r="K13" s="55"/>
      <c r="L13" s="55"/>
      <c r="M13" s="55"/>
      <c r="N13" s="55"/>
      <c r="O13" s="55"/>
      <c r="P13" s="70"/>
      <c r="Q13" s="77"/>
      <c r="R13" s="166"/>
    </row>
    <row r="14" spans="1:18" ht="12.75" customHeight="1" x14ac:dyDescent="0.25">
      <c r="A14" s="306" t="s">
        <v>354</v>
      </c>
      <c r="B14" s="310" t="s">
        <v>300</v>
      </c>
      <c r="C14" s="108" t="s">
        <v>222</v>
      </c>
      <c r="D14" s="55"/>
      <c r="E14" s="55"/>
      <c r="F14" s="55"/>
      <c r="G14" s="55"/>
      <c r="H14" s="55"/>
      <c r="I14" s="55"/>
      <c r="J14" s="55"/>
      <c r="K14" s="55"/>
      <c r="L14" s="55"/>
      <c r="M14" s="55"/>
      <c r="N14" s="55"/>
      <c r="O14" s="55"/>
      <c r="P14" s="70"/>
      <c r="Q14" s="77"/>
      <c r="R14" s="166"/>
    </row>
    <row r="15" spans="1:18" ht="12.75" customHeight="1" x14ac:dyDescent="0.25">
      <c r="A15" s="306" t="s">
        <v>355</v>
      </c>
      <c r="B15" s="310" t="s">
        <v>300</v>
      </c>
      <c r="C15" s="108" t="s">
        <v>222</v>
      </c>
      <c r="D15" s="55"/>
      <c r="E15" s="55"/>
      <c r="F15" s="55"/>
      <c r="G15" s="55"/>
      <c r="H15" s="55"/>
      <c r="I15" s="55"/>
      <c r="J15" s="55"/>
      <c r="K15" s="55"/>
      <c r="L15" s="55"/>
      <c r="M15" s="55"/>
      <c r="N15" s="55"/>
      <c r="O15" s="55"/>
      <c r="P15" s="70">
        <f t="shared" si="0"/>
        <v>0</v>
      </c>
      <c r="Q15" s="77"/>
      <c r="R15" s="166"/>
    </row>
    <row r="16" spans="1:18" ht="12.75" customHeight="1" x14ac:dyDescent="0.25">
      <c r="A16" s="306" t="s">
        <v>356</v>
      </c>
      <c r="B16" s="167" t="s">
        <v>301</v>
      </c>
      <c r="C16" s="108" t="s">
        <v>222</v>
      </c>
      <c r="D16" s="55"/>
      <c r="E16" s="55"/>
      <c r="F16" s="55"/>
      <c r="G16" s="55"/>
      <c r="H16" s="55"/>
      <c r="I16" s="55"/>
      <c r="J16" s="55"/>
      <c r="K16" s="55"/>
      <c r="L16" s="55"/>
      <c r="M16" s="55"/>
      <c r="N16" s="55"/>
      <c r="O16" s="55"/>
      <c r="P16" s="70">
        <f t="shared" si="0"/>
        <v>0</v>
      </c>
      <c r="Q16" s="77"/>
      <c r="R16" s="166"/>
    </row>
    <row r="17" spans="1:22" ht="12.75" customHeight="1" x14ac:dyDescent="0.25">
      <c r="A17" s="306" t="s">
        <v>357</v>
      </c>
      <c r="B17" s="167" t="s">
        <v>300</v>
      </c>
      <c r="C17" s="108" t="s">
        <v>222</v>
      </c>
      <c r="D17" s="55"/>
      <c r="E17" s="55"/>
      <c r="F17" s="55"/>
      <c r="G17" s="55"/>
      <c r="H17" s="55"/>
      <c r="I17" s="55"/>
      <c r="J17" s="55"/>
      <c r="K17" s="55"/>
      <c r="L17" s="55"/>
      <c r="M17" s="55"/>
      <c r="N17" s="55"/>
      <c r="O17" s="55"/>
      <c r="P17" s="70">
        <f t="shared" si="0"/>
        <v>0</v>
      </c>
      <c r="Q17" s="77"/>
      <c r="R17" s="166"/>
    </row>
    <row r="18" spans="1:22" ht="12.75" customHeight="1" x14ac:dyDescent="0.25">
      <c r="A18" s="306" t="s">
        <v>358</v>
      </c>
      <c r="B18" s="167" t="s">
        <v>300</v>
      </c>
      <c r="C18" s="108" t="s">
        <v>222</v>
      </c>
      <c r="D18" s="55"/>
      <c r="E18" s="55"/>
      <c r="F18" s="55"/>
      <c r="G18" s="55"/>
      <c r="H18" s="55"/>
      <c r="I18" s="55"/>
      <c r="J18" s="55"/>
      <c r="K18" s="55"/>
      <c r="L18" s="55"/>
      <c r="M18" s="55"/>
      <c r="N18" s="55"/>
      <c r="O18" s="55"/>
      <c r="P18" s="70">
        <f t="shared" si="0"/>
        <v>0</v>
      </c>
      <c r="Q18" s="77"/>
      <c r="R18" s="166"/>
    </row>
    <row r="19" spans="1:22" ht="12.75" customHeight="1" x14ac:dyDescent="0.25">
      <c r="A19" s="307" t="s">
        <v>198</v>
      </c>
      <c r="B19" s="310" t="s">
        <v>300</v>
      </c>
      <c r="C19" s="311" t="s">
        <v>222</v>
      </c>
      <c r="D19" s="55"/>
      <c r="E19" s="55"/>
      <c r="F19" s="55"/>
      <c r="G19" s="55"/>
      <c r="H19" s="55"/>
      <c r="I19" s="55"/>
      <c r="J19" s="55"/>
      <c r="K19" s="55"/>
      <c r="L19" s="55"/>
      <c r="M19" s="55"/>
      <c r="N19" s="55"/>
      <c r="O19" s="55"/>
      <c r="P19" s="70"/>
      <c r="Q19" s="77">
        <f>SUM(D19:O19)</f>
        <v>0</v>
      </c>
      <c r="R19" s="166"/>
    </row>
    <row r="20" spans="1:22" ht="12.75" customHeight="1" x14ac:dyDescent="0.25">
      <c r="A20" s="307" t="s">
        <v>206</v>
      </c>
      <c r="B20" s="310" t="s">
        <v>300</v>
      </c>
      <c r="C20" s="311" t="s">
        <v>223</v>
      </c>
      <c r="D20" s="55"/>
      <c r="E20" s="55"/>
      <c r="F20" s="55"/>
      <c r="G20" s="55"/>
      <c r="H20" s="55"/>
      <c r="I20" s="55"/>
      <c r="J20" s="55"/>
      <c r="K20" s="55"/>
      <c r="L20" s="55"/>
      <c r="M20" s="55"/>
      <c r="N20" s="55"/>
      <c r="O20" s="55"/>
      <c r="P20" s="70"/>
      <c r="Q20" s="77">
        <f t="shared" ref="Q20:Q22" si="1">SUM(D20:O20)</f>
        <v>0</v>
      </c>
      <c r="R20" s="166"/>
    </row>
    <row r="21" spans="1:22" ht="12.75" customHeight="1" x14ac:dyDescent="0.25">
      <c r="A21" s="307" t="s">
        <v>199</v>
      </c>
      <c r="B21" s="310" t="s">
        <v>301</v>
      </c>
      <c r="C21" s="311" t="s">
        <v>222</v>
      </c>
      <c r="D21" s="55"/>
      <c r="E21" s="55"/>
      <c r="F21" s="55"/>
      <c r="G21" s="55"/>
      <c r="H21" s="55"/>
      <c r="I21" s="55"/>
      <c r="J21" s="55"/>
      <c r="K21" s="55"/>
      <c r="L21" s="55"/>
      <c r="M21" s="55"/>
      <c r="N21" s="55"/>
      <c r="O21" s="55"/>
      <c r="P21" s="70"/>
      <c r="Q21" s="77">
        <f t="shared" si="1"/>
        <v>0</v>
      </c>
      <c r="R21" s="166"/>
    </row>
    <row r="22" spans="1:22" ht="12.75" customHeight="1" x14ac:dyDescent="0.25">
      <c r="A22" s="307" t="s">
        <v>207</v>
      </c>
      <c r="B22" s="310" t="s">
        <v>301</v>
      </c>
      <c r="C22" s="311" t="s">
        <v>223</v>
      </c>
      <c r="D22" s="55"/>
      <c r="E22" s="55"/>
      <c r="F22" s="55"/>
      <c r="G22" s="55"/>
      <c r="H22" s="55"/>
      <c r="I22" s="55"/>
      <c r="J22" s="55"/>
      <c r="K22" s="55"/>
      <c r="L22" s="55"/>
      <c r="M22" s="55"/>
      <c r="N22" s="55"/>
      <c r="O22" s="55"/>
      <c r="P22" s="70"/>
      <c r="Q22" s="77">
        <f t="shared" si="1"/>
        <v>0</v>
      </c>
      <c r="R22" s="166"/>
    </row>
    <row r="23" spans="1:22" s="560" customFormat="1" ht="12.75" hidden="1" customHeight="1" x14ac:dyDescent="0.25">
      <c r="A23" s="553" t="s">
        <v>140</v>
      </c>
      <c r="B23" s="554" t="s">
        <v>300</v>
      </c>
      <c r="C23" s="555" t="s">
        <v>222</v>
      </c>
      <c r="D23" s="556"/>
      <c r="E23" s="556"/>
      <c r="F23" s="556"/>
      <c r="G23" s="556"/>
      <c r="H23" s="556"/>
      <c r="I23" s="556"/>
      <c r="J23" s="556"/>
      <c r="K23" s="556"/>
      <c r="L23" s="556"/>
      <c r="M23" s="556"/>
      <c r="N23" s="556"/>
      <c r="O23" s="556"/>
      <c r="P23" s="557"/>
      <c r="Q23" s="558">
        <f t="shared" ref="Q23:Q29" si="2">SUM(D23:O23)</f>
        <v>0</v>
      </c>
      <c r="R23" s="559"/>
      <c r="U23" s="561"/>
      <c r="V23" s="561"/>
    </row>
    <row r="24" spans="1:22" s="560" customFormat="1" ht="12.75" hidden="1" customHeight="1" x14ac:dyDescent="0.25">
      <c r="A24" s="553" t="s">
        <v>291</v>
      </c>
      <c r="B24" s="554" t="s">
        <v>300</v>
      </c>
      <c r="C24" s="562" t="s">
        <v>222</v>
      </c>
      <c r="D24" s="556"/>
      <c r="E24" s="556"/>
      <c r="F24" s="556"/>
      <c r="G24" s="556"/>
      <c r="H24" s="556"/>
      <c r="I24" s="556"/>
      <c r="J24" s="556"/>
      <c r="K24" s="556"/>
      <c r="L24" s="556"/>
      <c r="M24" s="556"/>
      <c r="N24" s="556"/>
      <c r="O24" s="556"/>
      <c r="P24" s="557"/>
      <c r="Q24" s="558">
        <f t="shared" si="2"/>
        <v>0</v>
      </c>
      <c r="R24" s="559"/>
      <c r="U24" s="561"/>
      <c r="V24" s="561"/>
    </row>
    <row r="25" spans="1:22" s="560" customFormat="1" ht="12.75" hidden="1" customHeight="1" x14ac:dyDescent="0.25">
      <c r="A25" s="553" t="s">
        <v>142</v>
      </c>
      <c r="B25" s="554" t="str">
        <f t="shared" ref="B25:C27" si="3">+B16</f>
        <v>NH</v>
      </c>
      <c r="C25" s="555" t="str">
        <f t="shared" si="3"/>
        <v>R</v>
      </c>
      <c r="D25" s="556"/>
      <c r="E25" s="556"/>
      <c r="F25" s="556"/>
      <c r="G25" s="556"/>
      <c r="H25" s="556"/>
      <c r="I25" s="556"/>
      <c r="J25" s="556"/>
      <c r="K25" s="556"/>
      <c r="L25" s="556"/>
      <c r="M25" s="556"/>
      <c r="N25" s="556"/>
      <c r="O25" s="556"/>
      <c r="P25" s="557"/>
      <c r="Q25" s="558">
        <f t="shared" si="2"/>
        <v>0</v>
      </c>
      <c r="R25" s="559"/>
      <c r="U25" s="561"/>
      <c r="V25" s="561"/>
    </row>
    <row r="26" spans="1:22" s="560" customFormat="1" ht="12.75" hidden="1" customHeight="1" x14ac:dyDescent="0.25">
      <c r="A26" s="553" t="s">
        <v>208</v>
      </c>
      <c r="B26" s="554" t="str">
        <f t="shared" si="3"/>
        <v>H</v>
      </c>
      <c r="C26" s="555" t="str">
        <f t="shared" si="3"/>
        <v>R</v>
      </c>
      <c r="D26" s="556"/>
      <c r="E26" s="556"/>
      <c r="F26" s="556"/>
      <c r="G26" s="556"/>
      <c r="H26" s="556"/>
      <c r="I26" s="556"/>
      <c r="J26" s="556"/>
      <c r="K26" s="556"/>
      <c r="L26" s="556"/>
      <c r="M26" s="556"/>
      <c r="N26" s="556"/>
      <c r="O26" s="556"/>
      <c r="P26" s="557"/>
      <c r="Q26" s="558">
        <f t="shared" si="2"/>
        <v>0</v>
      </c>
      <c r="R26" s="559"/>
      <c r="U26" s="561"/>
      <c r="V26" s="561"/>
    </row>
    <row r="27" spans="1:22" s="560" customFormat="1" ht="12.75" hidden="1" customHeight="1" x14ac:dyDescent="0.25">
      <c r="A27" s="553" t="s">
        <v>144</v>
      </c>
      <c r="B27" s="554" t="str">
        <f t="shared" si="3"/>
        <v>H</v>
      </c>
      <c r="C27" s="555" t="str">
        <f t="shared" si="3"/>
        <v>R</v>
      </c>
      <c r="D27" s="556"/>
      <c r="E27" s="556"/>
      <c r="F27" s="556"/>
      <c r="G27" s="556"/>
      <c r="H27" s="556"/>
      <c r="I27" s="556"/>
      <c r="J27" s="556"/>
      <c r="K27" s="556"/>
      <c r="L27" s="556"/>
      <c r="M27" s="556"/>
      <c r="N27" s="556"/>
      <c r="O27" s="556"/>
      <c r="P27" s="557"/>
      <c r="Q27" s="558">
        <f t="shared" si="2"/>
        <v>0</v>
      </c>
      <c r="R27" s="559"/>
      <c r="U27" s="561"/>
      <c r="V27" s="561"/>
    </row>
    <row r="28" spans="1:22" s="560" customFormat="1" ht="12.75" hidden="1" customHeight="1" x14ac:dyDescent="0.25">
      <c r="A28" s="553" t="s">
        <v>145</v>
      </c>
      <c r="B28" s="554" t="s">
        <v>300</v>
      </c>
      <c r="C28" s="562" t="s">
        <v>222</v>
      </c>
      <c r="D28" s="556"/>
      <c r="E28" s="556"/>
      <c r="F28" s="556"/>
      <c r="G28" s="556"/>
      <c r="H28" s="556"/>
      <c r="I28" s="556"/>
      <c r="J28" s="556"/>
      <c r="K28" s="556"/>
      <c r="L28" s="556"/>
      <c r="M28" s="556"/>
      <c r="N28" s="556"/>
      <c r="O28" s="556"/>
      <c r="P28" s="557"/>
      <c r="Q28" s="558">
        <f t="shared" si="2"/>
        <v>0</v>
      </c>
      <c r="R28" s="559"/>
      <c r="U28" s="561"/>
      <c r="V28" s="561"/>
    </row>
    <row r="29" spans="1:22" s="560" customFormat="1" ht="12.75" hidden="1" customHeight="1" x14ac:dyDescent="0.25">
      <c r="A29" s="553" t="s">
        <v>146</v>
      </c>
      <c r="B29" s="554" t="s">
        <v>300</v>
      </c>
      <c r="C29" s="555" t="s">
        <v>223</v>
      </c>
      <c r="D29" s="556"/>
      <c r="E29" s="556"/>
      <c r="F29" s="556"/>
      <c r="G29" s="556"/>
      <c r="H29" s="556"/>
      <c r="I29" s="556"/>
      <c r="J29" s="556"/>
      <c r="K29" s="556"/>
      <c r="L29" s="556"/>
      <c r="M29" s="556"/>
      <c r="N29" s="556"/>
      <c r="O29" s="556"/>
      <c r="P29" s="557"/>
      <c r="Q29" s="558">
        <f t="shared" si="2"/>
        <v>0</v>
      </c>
      <c r="R29" s="559"/>
      <c r="U29" s="561"/>
      <c r="V29" s="561"/>
    </row>
    <row r="30" spans="1:22" ht="12.75" customHeight="1" x14ac:dyDescent="0.25">
      <c r="A30" s="306"/>
      <c r="B30" s="310"/>
      <c r="C30" s="311"/>
      <c r="D30" s="55"/>
      <c r="E30" s="55"/>
      <c r="F30" s="55"/>
      <c r="G30" s="55"/>
      <c r="H30" s="55"/>
      <c r="I30" s="55"/>
      <c r="J30" s="55"/>
      <c r="K30" s="55"/>
      <c r="L30" s="55"/>
      <c r="M30" s="55"/>
      <c r="N30" s="55"/>
      <c r="O30" s="55"/>
      <c r="P30" s="70"/>
      <c r="Q30" s="77"/>
      <c r="R30" s="166"/>
    </row>
    <row r="31" spans="1:22" ht="12.75" customHeight="1" x14ac:dyDescent="0.25">
      <c r="A31" s="306"/>
      <c r="B31" s="310"/>
      <c r="C31" s="311"/>
      <c r="D31" s="55"/>
      <c r="E31" s="55"/>
      <c r="F31" s="55"/>
      <c r="G31" s="55"/>
      <c r="H31" s="55"/>
      <c r="I31" s="55"/>
      <c r="J31" s="55"/>
      <c r="K31" s="55"/>
      <c r="L31" s="55"/>
      <c r="M31" s="55"/>
      <c r="N31" s="55"/>
      <c r="O31" s="55"/>
      <c r="P31" s="70"/>
      <c r="Q31" s="77"/>
      <c r="R31" s="166"/>
    </row>
    <row r="32" spans="1:22" ht="12.75" customHeight="1" x14ac:dyDescent="0.25">
      <c r="A32" s="306" t="s">
        <v>200</v>
      </c>
      <c r="B32" s="167" t="s">
        <v>301</v>
      </c>
      <c r="C32" s="311" t="s">
        <v>222</v>
      </c>
      <c r="D32" s="55"/>
      <c r="E32" s="55"/>
      <c r="F32" s="55"/>
      <c r="G32" s="55"/>
      <c r="H32" s="55"/>
      <c r="I32" s="55"/>
      <c r="J32" s="55"/>
      <c r="K32" s="55"/>
      <c r="L32" s="55"/>
      <c r="M32" s="55"/>
      <c r="N32" s="55"/>
      <c r="O32" s="55"/>
      <c r="P32" s="70">
        <f>SUM(D32:O32)</f>
        <v>0</v>
      </c>
      <c r="Q32" s="77"/>
      <c r="R32" s="166"/>
    </row>
    <row r="33" spans="1:18" ht="12.75" customHeight="1" x14ac:dyDescent="0.25">
      <c r="A33" s="306" t="s">
        <v>209</v>
      </c>
      <c r="B33" s="167" t="s">
        <v>301</v>
      </c>
      <c r="C33" s="311" t="s">
        <v>223</v>
      </c>
      <c r="D33" s="55"/>
      <c r="E33" s="55"/>
      <c r="F33" s="55"/>
      <c r="G33" s="55"/>
      <c r="H33" s="55"/>
      <c r="I33" s="55"/>
      <c r="J33" s="55"/>
      <c r="K33" s="55"/>
      <c r="L33" s="55"/>
      <c r="M33" s="55"/>
      <c r="N33" s="55"/>
      <c r="O33" s="55"/>
      <c r="P33" s="70">
        <f>SUM(D33:O33)</f>
        <v>0</v>
      </c>
      <c r="Q33" s="77"/>
      <c r="R33" s="166"/>
    </row>
    <row r="34" spans="1:18" ht="12.75" customHeight="1" x14ac:dyDescent="0.25">
      <c r="A34" s="307" t="s">
        <v>201</v>
      </c>
      <c r="B34" s="167" t="s">
        <v>301</v>
      </c>
      <c r="C34" s="311" t="s">
        <v>222</v>
      </c>
      <c r="D34" s="55"/>
      <c r="E34" s="55"/>
      <c r="F34" s="55"/>
      <c r="G34" s="55"/>
      <c r="H34" s="55"/>
      <c r="I34" s="55"/>
      <c r="J34" s="55"/>
      <c r="K34" s="55"/>
      <c r="L34" s="55"/>
      <c r="M34" s="55"/>
      <c r="N34" s="55"/>
      <c r="O34" s="55"/>
      <c r="P34" s="70"/>
      <c r="Q34" s="77">
        <f>SUM(D34:O34)</f>
        <v>0</v>
      </c>
      <c r="R34" s="166"/>
    </row>
    <row r="35" spans="1:18" ht="12.75" customHeight="1" x14ac:dyDescent="0.25">
      <c r="A35" s="307" t="s">
        <v>210</v>
      </c>
      <c r="B35" s="167" t="s">
        <v>301</v>
      </c>
      <c r="C35" s="311" t="s">
        <v>223</v>
      </c>
      <c r="D35" s="55"/>
      <c r="E35" s="55"/>
      <c r="F35" s="55"/>
      <c r="G35" s="55"/>
      <c r="H35" s="55"/>
      <c r="I35" s="55"/>
      <c r="J35" s="55"/>
      <c r="K35" s="55"/>
      <c r="L35" s="55"/>
      <c r="M35" s="55"/>
      <c r="N35" s="55"/>
      <c r="O35" s="55"/>
      <c r="P35" s="70"/>
      <c r="Q35" s="77">
        <f>SUM(D35:O35)</f>
        <v>0</v>
      </c>
      <c r="R35" s="166"/>
    </row>
    <row r="36" spans="1:18" ht="12.75" customHeight="1" x14ac:dyDescent="0.25">
      <c r="A36" s="306"/>
      <c r="B36" s="310"/>
      <c r="C36" s="311"/>
      <c r="D36" s="55"/>
      <c r="E36" s="55"/>
      <c r="F36" s="55"/>
      <c r="G36" s="55"/>
      <c r="H36" s="55"/>
      <c r="I36" s="55"/>
      <c r="J36" s="55"/>
      <c r="K36" s="55"/>
      <c r="L36" s="55"/>
      <c r="M36" s="55"/>
      <c r="N36" s="55"/>
      <c r="O36" s="55"/>
      <c r="P36" s="70"/>
      <c r="Q36" s="77"/>
      <c r="R36" s="166"/>
    </row>
    <row r="37" spans="1:18" ht="12.75" customHeight="1" x14ac:dyDescent="0.25">
      <c r="A37" s="306"/>
      <c r="B37" s="310"/>
      <c r="C37" s="311"/>
      <c r="D37" s="55"/>
      <c r="E37" s="55"/>
      <c r="F37" s="55"/>
      <c r="G37" s="55"/>
      <c r="H37" s="55"/>
      <c r="I37" s="55"/>
      <c r="J37" s="55"/>
      <c r="K37" s="55"/>
      <c r="L37" s="55"/>
      <c r="M37" s="55"/>
      <c r="N37" s="55"/>
      <c r="O37" s="55"/>
      <c r="P37" s="70"/>
      <c r="Q37" s="77"/>
      <c r="R37" s="166"/>
    </row>
    <row r="38" spans="1:18" ht="12.75" customHeight="1" x14ac:dyDescent="0.25">
      <c r="A38" s="308" t="s">
        <v>153</v>
      </c>
      <c r="B38" s="310"/>
      <c r="C38" s="312"/>
      <c r="D38" s="97">
        <f t="shared" ref="D38:O38" si="4">SUM(D7:D37)</f>
        <v>0</v>
      </c>
      <c r="E38" s="97">
        <f t="shared" si="4"/>
        <v>0</v>
      </c>
      <c r="F38" s="97">
        <f t="shared" si="4"/>
        <v>0</v>
      </c>
      <c r="G38" s="97">
        <f t="shared" si="4"/>
        <v>0</v>
      </c>
      <c r="H38" s="97">
        <f t="shared" si="4"/>
        <v>0</v>
      </c>
      <c r="I38" s="97">
        <f t="shared" si="4"/>
        <v>0</v>
      </c>
      <c r="J38" s="97">
        <f t="shared" si="4"/>
        <v>0</v>
      </c>
      <c r="K38" s="97">
        <f t="shared" si="4"/>
        <v>0</v>
      </c>
      <c r="L38" s="97">
        <f t="shared" si="4"/>
        <v>0</v>
      </c>
      <c r="M38" s="97">
        <f t="shared" si="4"/>
        <v>0</v>
      </c>
      <c r="N38" s="97">
        <f t="shared" si="4"/>
        <v>0</v>
      </c>
      <c r="O38" s="97">
        <f t="shared" si="4"/>
        <v>0</v>
      </c>
      <c r="P38" s="70"/>
      <c r="Q38" s="77"/>
      <c r="R38" s="166"/>
    </row>
    <row r="39" spans="1:18" ht="12.75" customHeight="1" x14ac:dyDescent="0.25">
      <c r="A39" s="306"/>
      <c r="B39" s="310"/>
      <c r="C39" s="311"/>
      <c r="D39" s="55"/>
      <c r="E39" s="55"/>
      <c r="F39" s="55"/>
      <c r="G39" s="55"/>
      <c r="H39" s="55"/>
      <c r="I39" s="55"/>
      <c r="J39" s="55"/>
      <c r="K39" s="55"/>
      <c r="L39" s="55"/>
      <c r="M39" s="55"/>
      <c r="N39" s="55"/>
      <c r="O39" s="55"/>
      <c r="P39" s="70"/>
      <c r="Q39" s="77"/>
      <c r="R39" s="166"/>
    </row>
    <row r="40" spans="1:18" ht="12.75" customHeight="1" x14ac:dyDescent="0.25">
      <c r="A40" s="309"/>
      <c r="B40" s="313"/>
      <c r="C40" s="314"/>
      <c r="D40" s="58"/>
      <c r="E40" s="58"/>
      <c r="F40" s="58"/>
      <c r="G40" s="58"/>
      <c r="H40" s="58"/>
      <c r="I40" s="58"/>
      <c r="J40" s="58"/>
      <c r="K40" s="58"/>
      <c r="L40" s="58"/>
      <c r="M40" s="58"/>
      <c r="N40" s="58"/>
      <c r="O40" s="58"/>
      <c r="P40" s="71"/>
      <c r="Q40" s="78"/>
      <c r="R40" s="166"/>
    </row>
    <row r="41" spans="1:18" ht="19.2" customHeight="1" x14ac:dyDescent="0.25">
      <c r="A41" s="304" t="s">
        <v>149</v>
      </c>
      <c r="B41" s="315"/>
      <c r="C41" s="316"/>
      <c r="D41" s="316"/>
      <c r="E41" s="316"/>
      <c r="F41" s="316"/>
      <c r="G41" s="316"/>
      <c r="H41" s="316"/>
      <c r="I41" s="316"/>
      <c r="J41" s="316"/>
      <c r="K41" s="316"/>
      <c r="L41" s="316"/>
      <c r="M41" s="316"/>
      <c r="N41" s="316"/>
      <c r="O41" s="316"/>
      <c r="P41" s="89"/>
      <c r="Q41" s="117"/>
      <c r="R41" s="166"/>
    </row>
    <row r="42" spans="1:18" ht="12.75" customHeight="1" x14ac:dyDescent="0.25">
      <c r="A42" s="306" t="s">
        <v>150</v>
      </c>
      <c r="B42" s="310" t="s">
        <v>300</v>
      </c>
      <c r="C42" s="311"/>
      <c r="D42" s="55"/>
      <c r="E42" s="55"/>
      <c r="F42" s="55"/>
      <c r="G42" s="55"/>
      <c r="H42" s="55"/>
      <c r="I42" s="55"/>
      <c r="J42" s="55"/>
      <c r="K42" s="55"/>
      <c r="L42" s="55"/>
      <c r="M42" s="55"/>
      <c r="N42" s="55"/>
      <c r="O42" s="55"/>
      <c r="P42" s="70">
        <f>SUM(D42:O42)</f>
        <v>0</v>
      </c>
      <c r="Q42" s="77"/>
      <c r="R42" s="166"/>
    </row>
    <row r="43" spans="1:18" ht="12.75" customHeight="1" x14ac:dyDescent="0.25">
      <c r="A43" s="306" t="s">
        <v>132</v>
      </c>
      <c r="B43" s="310" t="s">
        <v>301</v>
      </c>
      <c r="C43" s="311"/>
      <c r="D43" s="55"/>
      <c r="E43" s="55"/>
      <c r="F43" s="55"/>
      <c r="G43" s="55"/>
      <c r="H43" s="55"/>
      <c r="I43" s="55"/>
      <c r="J43" s="55"/>
      <c r="K43" s="55"/>
      <c r="L43" s="55"/>
      <c r="M43" s="55"/>
      <c r="N43" s="55"/>
      <c r="O43" s="55"/>
      <c r="P43" s="70">
        <f t="shared" ref="P43:P48" si="5">SUM(D43:O43)</f>
        <v>0</v>
      </c>
      <c r="Q43" s="77"/>
      <c r="R43" s="166"/>
    </row>
    <row r="44" spans="1:18" ht="12.75" customHeight="1" x14ac:dyDescent="0.25">
      <c r="A44" s="306" t="s">
        <v>364</v>
      </c>
      <c r="B44" s="310" t="s">
        <v>300</v>
      </c>
      <c r="C44" s="311"/>
      <c r="D44" s="55"/>
      <c r="E44" s="55"/>
      <c r="F44" s="55"/>
      <c r="G44" s="55"/>
      <c r="H44" s="55"/>
      <c r="I44" s="55"/>
      <c r="J44" s="55"/>
      <c r="K44" s="55"/>
      <c r="L44" s="55"/>
      <c r="M44" s="55"/>
      <c r="N44" s="55"/>
      <c r="O44" s="55"/>
      <c r="P44" s="70">
        <f t="shared" si="5"/>
        <v>0</v>
      </c>
      <c r="Q44" s="77"/>
      <c r="R44" s="166"/>
    </row>
    <row r="45" spans="1:18" ht="12.75" customHeight="1" x14ac:dyDescent="0.25">
      <c r="A45" s="306" t="s">
        <v>365</v>
      </c>
      <c r="B45" s="310" t="s">
        <v>300</v>
      </c>
      <c r="C45" s="311"/>
      <c r="D45" s="55"/>
      <c r="E45" s="55"/>
      <c r="F45" s="55"/>
      <c r="G45" s="55"/>
      <c r="H45" s="55"/>
      <c r="I45" s="55"/>
      <c r="J45" s="55"/>
      <c r="K45" s="55"/>
      <c r="L45" s="55"/>
      <c r="M45" s="55"/>
      <c r="N45" s="55"/>
      <c r="O45" s="55"/>
      <c r="P45" s="70">
        <f t="shared" si="5"/>
        <v>0</v>
      </c>
      <c r="Q45" s="77"/>
      <c r="R45" s="166"/>
    </row>
    <row r="46" spans="1:18" ht="12.75" customHeight="1" x14ac:dyDescent="0.25">
      <c r="A46" s="306" t="s">
        <v>355</v>
      </c>
      <c r="B46" s="310" t="s">
        <v>300</v>
      </c>
      <c r="C46" s="311"/>
      <c r="D46" s="55"/>
      <c r="E46" s="55"/>
      <c r="F46" s="55"/>
      <c r="G46" s="55"/>
      <c r="H46" s="55"/>
      <c r="I46" s="55"/>
      <c r="J46" s="55"/>
      <c r="K46" s="55"/>
      <c r="L46" s="55"/>
      <c r="M46" s="55"/>
      <c r="N46" s="55"/>
      <c r="O46" s="55"/>
      <c r="P46" s="70">
        <f t="shared" si="5"/>
        <v>0</v>
      </c>
      <c r="Q46" s="77"/>
      <c r="R46" s="166"/>
    </row>
    <row r="47" spans="1:18" ht="12.75" customHeight="1" x14ac:dyDescent="0.25">
      <c r="A47" s="306" t="s">
        <v>359</v>
      </c>
      <c r="B47" s="167" t="s">
        <v>301</v>
      </c>
      <c r="C47" s="311"/>
      <c r="D47" s="55"/>
      <c r="E47" s="55"/>
      <c r="F47" s="55"/>
      <c r="G47" s="55"/>
      <c r="H47" s="55"/>
      <c r="I47" s="55"/>
      <c r="J47" s="55"/>
      <c r="K47" s="55"/>
      <c r="L47" s="55"/>
      <c r="M47" s="55"/>
      <c r="N47" s="55"/>
      <c r="O47" s="55"/>
      <c r="P47" s="70">
        <f t="shared" si="5"/>
        <v>0</v>
      </c>
      <c r="Q47" s="77"/>
      <c r="R47" s="166"/>
    </row>
    <row r="48" spans="1:18" ht="12.75" customHeight="1" x14ac:dyDescent="0.25">
      <c r="A48" s="306" t="s">
        <v>360</v>
      </c>
      <c r="B48" s="167" t="s">
        <v>300</v>
      </c>
      <c r="C48" s="311"/>
      <c r="D48" s="55"/>
      <c r="E48" s="55"/>
      <c r="F48" s="55"/>
      <c r="G48" s="55"/>
      <c r="H48" s="55"/>
      <c r="I48" s="55"/>
      <c r="J48" s="55"/>
      <c r="K48" s="55"/>
      <c r="L48" s="55"/>
      <c r="M48" s="55"/>
      <c r="N48" s="55"/>
      <c r="O48" s="55"/>
      <c r="P48" s="70">
        <f t="shared" si="5"/>
        <v>0</v>
      </c>
      <c r="Q48" s="77"/>
      <c r="R48" s="166"/>
    </row>
    <row r="49" spans="1:22" ht="12.75" customHeight="1" x14ac:dyDescent="0.25">
      <c r="A49" s="306" t="s">
        <v>358</v>
      </c>
      <c r="B49" s="167" t="s">
        <v>300</v>
      </c>
      <c r="C49" s="311"/>
      <c r="D49" s="55"/>
      <c r="E49" s="55"/>
      <c r="F49" s="55"/>
      <c r="G49" s="55"/>
      <c r="H49" s="55"/>
      <c r="I49" s="55"/>
      <c r="J49" s="55"/>
      <c r="K49" s="55"/>
      <c r="L49" s="55"/>
      <c r="M49" s="55"/>
      <c r="N49" s="55"/>
      <c r="O49" s="55"/>
      <c r="P49" s="70">
        <f>SUM(D49:O49)</f>
        <v>0</v>
      </c>
      <c r="Q49" s="77"/>
      <c r="R49" s="166"/>
    </row>
    <row r="50" spans="1:22" ht="12.75" customHeight="1" x14ac:dyDescent="0.25">
      <c r="A50" s="307" t="s">
        <v>151</v>
      </c>
      <c r="B50" s="310" t="s">
        <v>300</v>
      </c>
      <c r="C50" s="311"/>
      <c r="D50" s="55"/>
      <c r="E50" s="55"/>
      <c r="F50" s="55"/>
      <c r="G50" s="55"/>
      <c r="H50" s="55"/>
      <c r="I50" s="55"/>
      <c r="J50" s="55"/>
      <c r="K50" s="55"/>
      <c r="L50" s="55"/>
      <c r="M50" s="55"/>
      <c r="N50" s="55"/>
      <c r="O50" s="55"/>
      <c r="P50" s="70"/>
      <c r="Q50" s="77">
        <f>SUM(D50:O50)</f>
        <v>0</v>
      </c>
      <c r="R50" s="166"/>
    </row>
    <row r="51" spans="1:22" ht="12.75" customHeight="1" x14ac:dyDescent="0.25">
      <c r="A51" s="307" t="s">
        <v>139</v>
      </c>
      <c r="B51" s="310" t="s">
        <v>301</v>
      </c>
      <c r="C51" s="311"/>
      <c r="D51" s="55"/>
      <c r="E51" s="55"/>
      <c r="F51" s="55"/>
      <c r="G51" s="55"/>
      <c r="H51" s="55"/>
      <c r="I51" s="55"/>
      <c r="J51" s="55"/>
      <c r="K51" s="55"/>
      <c r="L51" s="55"/>
      <c r="M51" s="55"/>
      <c r="N51" s="55"/>
      <c r="O51" s="55"/>
      <c r="P51" s="70"/>
      <c r="Q51" s="77">
        <f t="shared" ref="Q51:Q58" si="6">SUM(D51:O51)</f>
        <v>0</v>
      </c>
      <c r="R51" s="166"/>
    </row>
    <row r="52" spans="1:22" s="560" customFormat="1" ht="12.75" hidden="1" customHeight="1" x14ac:dyDescent="0.25">
      <c r="A52" s="553" t="s">
        <v>140</v>
      </c>
      <c r="B52" s="554" t="s">
        <v>300</v>
      </c>
      <c r="C52" s="555"/>
      <c r="D52" s="556"/>
      <c r="E52" s="556"/>
      <c r="F52" s="556"/>
      <c r="G52" s="556"/>
      <c r="H52" s="556"/>
      <c r="I52" s="556"/>
      <c r="J52" s="556"/>
      <c r="K52" s="556"/>
      <c r="L52" s="556"/>
      <c r="M52" s="556"/>
      <c r="N52" s="556"/>
      <c r="O52" s="556"/>
      <c r="P52" s="557"/>
      <c r="Q52" s="558">
        <f t="shared" si="6"/>
        <v>0</v>
      </c>
      <c r="R52" s="559"/>
      <c r="U52" s="561"/>
      <c r="V52" s="561"/>
    </row>
    <row r="53" spans="1:22" s="560" customFormat="1" ht="12.75" hidden="1" customHeight="1" x14ac:dyDescent="0.25">
      <c r="A53" s="553" t="s">
        <v>291</v>
      </c>
      <c r="B53" s="554" t="s">
        <v>300</v>
      </c>
      <c r="C53" s="555"/>
      <c r="D53" s="556"/>
      <c r="E53" s="556"/>
      <c r="F53" s="556"/>
      <c r="G53" s="556"/>
      <c r="H53" s="556"/>
      <c r="I53" s="556"/>
      <c r="J53" s="556"/>
      <c r="K53" s="556"/>
      <c r="L53" s="556"/>
      <c r="M53" s="556"/>
      <c r="N53" s="556"/>
      <c r="O53" s="556"/>
      <c r="P53" s="557"/>
      <c r="Q53" s="558">
        <f t="shared" si="6"/>
        <v>0</v>
      </c>
      <c r="R53" s="559"/>
      <c r="U53" s="561"/>
      <c r="V53" s="561"/>
    </row>
    <row r="54" spans="1:22" s="560" customFormat="1" ht="12.75" hidden="1" customHeight="1" x14ac:dyDescent="0.25">
      <c r="A54" s="553" t="s">
        <v>142</v>
      </c>
      <c r="B54" s="554" t="str">
        <f>+B47</f>
        <v>NH</v>
      </c>
      <c r="C54" s="555"/>
      <c r="D54" s="556"/>
      <c r="E54" s="556"/>
      <c r="F54" s="556"/>
      <c r="G54" s="556"/>
      <c r="H54" s="556"/>
      <c r="I54" s="556"/>
      <c r="J54" s="556"/>
      <c r="K54" s="556"/>
      <c r="L54" s="556"/>
      <c r="M54" s="556"/>
      <c r="N54" s="556"/>
      <c r="O54" s="556"/>
      <c r="P54" s="557"/>
      <c r="Q54" s="558">
        <f t="shared" si="6"/>
        <v>0</v>
      </c>
      <c r="R54" s="559"/>
      <c r="U54" s="561"/>
      <c r="V54" s="561"/>
    </row>
    <row r="55" spans="1:22" s="560" customFormat="1" ht="12.75" hidden="1" customHeight="1" x14ac:dyDescent="0.25">
      <c r="A55" s="553" t="s">
        <v>143</v>
      </c>
      <c r="B55" s="554" t="str">
        <f>+B48</f>
        <v>H</v>
      </c>
      <c r="C55" s="555"/>
      <c r="D55" s="556"/>
      <c r="E55" s="556"/>
      <c r="F55" s="556"/>
      <c r="G55" s="556"/>
      <c r="H55" s="556"/>
      <c r="I55" s="556"/>
      <c r="J55" s="556"/>
      <c r="K55" s="556"/>
      <c r="L55" s="556"/>
      <c r="M55" s="556"/>
      <c r="N55" s="556"/>
      <c r="O55" s="556"/>
      <c r="P55" s="557"/>
      <c r="Q55" s="558">
        <f t="shared" si="6"/>
        <v>0</v>
      </c>
      <c r="R55" s="559"/>
      <c r="U55" s="561"/>
      <c r="V55" s="561"/>
    </row>
    <row r="56" spans="1:22" s="560" customFormat="1" ht="12.75" hidden="1" customHeight="1" x14ac:dyDescent="0.25">
      <c r="A56" s="553" t="s">
        <v>144</v>
      </c>
      <c r="B56" s="554" t="str">
        <f>+B49</f>
        <v>H</v>
      </c>
      <c r="C56" s="555"/>
      <c r="D56" s="556"/>
      <c r="E56" s="556"/>
      <c r="F56" s="556"/>
      <c r="G56" s="556"/>
      <c r="H56" s="556"/>
      <c r="I56" s="556"/>
      <c r="J56" s="556"/>
      <c r="K56" s="556"/>
      <c r="L56" s="556"/>
      <c r="M56" s="556"/>
      <c r="N56" s="556"/>
      <c r="O56" s="556"/>
      <c r="P56" s="557"/>
      <c r="Q56" s="558">
        <f t="shared" si="6"/>
        <v>0</v>
      </c>
      <c r="R56" s="559"/>
      <c r="U56" s="561"/>
      <c r="V56" s="561"/>
    </row>
    <row r="57" spans="1:22" s="560" customFormat="1" ht="12.75" hidden="1" customHeight="1" x14ac:dyDescent="0.25">
      <c r="A57" s="553" t="s">
        <v>145</v>
      </c>
      <c r="B57" s="554" t="s">
        <v>300</v>
      </c>
      <c r="C57" s="555"/>
      <c r="D57" s="556"/>
      <c r="E57" s="556"/>
      <c r="F57" s="556"/>
      <c r="G57" s="556"/>
      <c r="H57" s="556"/>
      <c r="I57" s="556"/>
      <c r="J57" s="556"/>
      <c r="K57" s="556"/>
      <c r="L57" s="556"/>
      <c r="M57" s="556"/>
      <c r="N57" s="556"/>
      <c r="O57" s="556"/>
      <c r="P57" s="557"/>
      <c r="Q57" s="558">
        <f t="shared" si="6"/>
        <v>0</v>
      </c>
      <c r="R57" s="559"/>
      <c r="U57" s="561"/>
      <c r="V57" s="561"/>
    </row>
    <row r="58" spans="1:22" s="560" customFormat="1" ht="12.75" hidden="1" customHeight="1" x14ac:dyDescent="0.25">
      <c r="A58" s="553" t="s">
        <v>146</v>
      </c>
      <c r="B58" s="554" t="s">
        <v>300</v>
      </c>
      <c r="C58" s="555"/>
      <c r="D58" s="556"/>
      <c r="E58" s="556"/>
      <c r="F58" s="556"/>
      <c r="G58" s="556"/>
      <c r="H58" s="556"/>
      <c r="I58" s="556"/>
      <c r="J58" s="556"/>
      <c r="K58" s="556"/>
      <c r="L58" s="556"/>
      <c r="M58" s="556"/>
      <c r="N58" s="556"/>
      <c r="O58" s="556"/>
      <c r="P58" s="557"/>
      <c r="Q58" s="558">
        <f t="shared" si="6"/>
        <v>0</v>
      </c>
      <c r="R58" s="559"/>
      <c r="U58" s="561"/>
      <c r="V58" s="561"/>
    </row>
    <row r="59" spans="1:22" ht="12.75" customHeight="1" x14ac:dyDescent="0.25">
      <c r="A59" s="306"/>
      <c r="B59" s="310"/>
      <c r="C59" s="311"/>
      <c r="D59" s="55"/>
      <c r="E59" s="55"/>
      <c r="F59" s="55"/>
      <c r="G59" s="55"/>
      <c r="H59" s="55"/>
      <c r="I59" s="55"/>
      <c r="J59" s="55"/>
      <c r="K59" s="55"/>
      <c r="L59" s="55"/>
      <c r="M59" s="55"/>
      <c r="N59" s="55"/>
      <c r="O59" s="55"/>
      <c r="P59" s="70"/>
      <c r="Q59" s="77"/>
      <c r="R59" s="166"/>
    </row>
    <row r="60" spans="1:22" ht="12.75" customHeight="1" x14ac:dyDescent="0.25">
      <c r="A60" s="306"/>
      <c r="B60" s="310"/>
      <c r="C60" s="311"/>
      <c r="D60" s="55"/>
      <c r="E60" s="55"/>
      <c r="F60" s="55"/>
      <c r="G60" s="55"/>
      <c r="H60" s="55"/>
      <c r="I60" s="55"/>
      <c r="J60" s="55"/>
      <c r="K60" s="55"/>
      <c r="L60" s="55"/>
      <c r="M60" s="55"/>
      <c r="N60" s="55"/>
      <c r="O60" s="55"/>
      <c r="P60" s="70"/>
      <c r="Q60" s="77"/>
      <c r="R60" s="166"/>
    </row>
    <row r="61" spans="1:22" ht="12.75" customHeight="1" x14ac:dyDescent="0.25">
      <c r="A61" s="306" t="s">
        <v>147</v>
      </c>
      <c r="B61" s="167" t="s">
        <v>301</v>
      </c>
      <c r="C61" s="311"/>
      <c r="D61" s="55"/>
      <c r="E61" s="55"/>
      <c r="F61" s="55"/>
      <c r="G61" s="55"/>
      <c r="H61" s="55"/>
      <c r="I61" s="55"/>
      <c r="J61" s="55"/>
      <c r="K61" s="55"/>
      <c r="L61" s="55"/>
      <c r="M61" s="55"/>
      <c r="N61" s="55"/>
      <c r="O61" s="55"/>
      <c r="P61" s="70">
        <f>SUM(D61:O61)</f>
        <v>0</v>
      </c>
      <c r="Q61" s="77"/>
      <c r="R61" s="166"/>
    </row>
    <row r="62" spans="1:22" ht="12.75" customHeight="1" x14ac:dyDescent="0.25">
      <c r="A62" s="307" t="s">
        <v>148</v>
      </c>
      <c r="B62" s="167" t="s">
        <v>301</v>
      </c>
      <c r="C62" s="311"/>
      <c r="D62" s="55"/>
      <c r="E62" s="55"/>
      <c r="F62" s="55"/>
      <c r="G62" s="55"/>
      <c r="H62" s="55"/>
      <c r="I62" s="55"/>
      <c r="J62" s="55"/>
      <c r="K62" s="55"/>
      <c r="L62" s="55"/>
      <c r="M62" s="55"/>
      <c r="N62" s="55"/>
      <c r="O62" s="55"/>
      <c r="P62" s="70"/>
      <c r="Q62" s="77">
        <f>SUM(D62:O62)</f>
        <v>0</v>
      </c>
      <c r="R62" s="166"/>
    </row>
    <row r="63" spans="1:22" ht="12.75" customHeight="1" x14ac:dyDescent="0.25">
      <c r="A63" s="306"/>
      <c r="B63" s="310"/>
      <c r="C63" s="311"/>
      <c r="D63" s="55"/>
      <c r="E63" s="55"/>
      <c r="F63" s="55"/>
      <c r="G63" s="55"/>
      <c r="H63" s="55"/>
      <c r="I63" s="55"/>
      <c r="J63" s="55"/>
      <c r="K63" s="55"/>
      <c r="L63" s="55"/>
      <c r="M63" s="55"/>
      <c r="N63" s="55"/>
      <c r="O63" s="55"/>
      <c r="P63" s="70"/>
      <c r="Q63" s="77"/>
      <c r="R63" s="166"/>
    </row>
    <row r="64" spans="1:22" ht="12.75" customHeight="1" x14ac:dyDescent="0.25">
      <c r="A64" s="306"/>
      <c r="B64" s="310"/>
      <c r="C64" s="311"/>
      <c r="D64" s="55"/>
      <c r="E64" s="55"/>
      <c r="F64" s="55"/>
      <c r="G64" s="55"/>
      <c r="H64" s="55"/>
      <c r="I64" s="55"/>
      <c r="J64" s="55"/>
      <c r="K64" s="55"/>
      <c r="L64" s="55"/>
      <c r="M64" s="55"/>
      <c r="N64" s="55"/>
      <c r="O64" s="55"/>
      <c r="P64" s="70"/>
      <c r="Q64" s="77"/>
      <c r="R64" s="166"/>
    </row>
    <row r="65" spans="1:22" ht="12.75" customHeight="1" x14ac:dyDescent="0.25">
      <c r="A65" s="308" t="s">
        <v>152</v>
      </c>
      <c r="B65" s="310"/>
      <c r="C65" s="312"/>
      <c r="D65" s="97">
        <f t="shared" ref="D65:O65" si="7">SUM(D42:D64)</f>
        <v>0</v>
      </c>
      <c r="E65" s="97">
        <f t="shared" si="7"/>
        <v>0</v>
      </c>
      <c r="F65" s="97">
        <f t="shared" si="7"/>
        <v>0</v>
      </c>
      <c r="G65" s="97">
        <f t="shared" si="7"/>
        <v>0</v>
      </c>
      <c r="H65" s="97">
        <f t="shared" si="7"/>
        <v>0</v>
      </c>
      <c r="I65" s="97">
        <f t="shared" si="7"/>
        <v>0</v>
      </c>
      <c r="J65" s="97">
        <f t="shared" si="7"/>
        <v>0</v>
      </c>
      <c r="K65" s="97">
        <f t="shared" si="7"/>
        <v>0</v>
      </c>
      <c r="L65" s="97">
        <f t="shared" si="7"/>
        <v>0</v>
      </c>
      <c r="M65" s="97">
        <f t="shared" si="7"/>
        <v>0</v>
      </c>
      <c r="N65" s="97">
        <f t="shared" si="7"/>
        <v>0</v>
      </c>
      <c r="O65" s="97">
        <f t="shared" si="7"/>
        <v>0</v>
      </c>
      <c r="P65" s="70"/>
      <c r="Q65" s="77"/>
      <c r="R65" s="166"/>
    </row>
    <row r="66" spans="1:22" ht="12.75" customHeight="1" x14ac:dyDescent="0.25">
      <c r="A66" s="306"/>
      <c r="B66" s="322"/>
      <c r="C66" s="311"/>
      <c r="D66" s="57"/>
      <c r="E66" s="57"/>
      <c r="F66" s="57"/>
      <c r="G66" s="57"/>
      <c r="H66" s="57"/>
      <c r="I66" s="57"/>
      <c r="J66" s="57"/>
      <c r="K66" s="57"/>
      <c r="L66" s="57"/>
      <c r="M66" s="57"/>
      <c r="N66" s="57"/>
      <c r="O66" s="57"/>
      <c r="P66" s="70"/>
      <c r="Q66" s="77"/>
      <c r="R66" s="166"/>
    </row>
    <row r="67" spans="1:22" ht="12.75" customHeight="1" x14ac:dyDescent="0.25">
      <c r="A67" s="306"/>
      <c r="B67" s="323"/>
      <c r="C67" s="311"/>
      <c r="D67" s="57"/>
      <c r="E67" s="57"/>
      <c r="F67" s="57"/>
      <c r="G67" s="57"/>
      <c r="H67" s="57"/>
      <c r="I67" s="57"/>
      <c r="J67" s="57"/>
      <c r="K67" s="57"/>
      <c r="L67" s="57"/>
      <c r="M67" s="57"/>
      <c r="N67" s="57"/>
      <c r="O67" s="57"/>
      <c r="P67" s="70"/>
      <c r="Q67" s="77"/>
      <c r="R67" s="166"/>
    </row>
    <row r="68" spans="1:22" ht="12.75" customHeight="1" x14ac:dyDescent="0.25">
      <c r="A68" s="317" t="s">
        <v>154</v>
      </c>
      <c r="B68" s="322"/>
      <c r="C68" s="324"/>
      <c r="D68" s="81">
        <f t="shared" ref="D68:O68" si="8">+SUM(D7:D18,D32:D33,D42:D49,D61:D61)</f>
        <v>0</v>
      </c>
      <c r="E68" s="81">
        <f t="shared" si="8"/>
        <v>0</v>
      </c>
      <c r="F68" s="81">
        <f t="shared" si="8"/>
        <v>0</v>
      </c>
      <c r="G68" s="81">
        <f t="shared" si="8"/>
        <v>0</v>
      </c>
      <c r="H68" s="81">
        <f t="shared" si="8"/>
        <v>0</v>
      </c>
      <c r="I68" s="81">
        <f t="shared" si="8"/>
        <v>0</v>
      </c>
      <c r="J68" s="81">
        <f t="shared" si="8"/>
        <v>0</v>
      </c>
      <c r="K68" s="81">
        <f t="shared" si="8"/>
        <v>0</v>
      </c>
      <c r="L68" s="81">
        <f t="shared" si="8"/>
        <v>0</v>
      </c>
      <c r="M68" s="81">
        <f t="shared" si="8"/>
        <v>0</v>
      </c>
      <c r="N68" s="81">
        <f t="shared" si="8"/>
        <v>0</v>
      </c>
      <c r="O68" s="81">
        <f t="shared" si="8"/>
        <v>0</v>
      </c>
      <c r="P68" s="81">
        <f>SUM(D68:O68)</f>
        <v>0</v>
      </c>
      <c r="Q68" s="82"/>
      <c r="R68" s="166"/>
    </row>
    <row r="69" spans="1:22" ht="12.75" customHeight="1" x14ac:dyDescent="0.25">
      <c r="A69" s="318" t="s">
        <v>155</v>
      </c>
      <c r="B69" s="323"/>
      <c r="C69" s="311"/>
      <c r="D69" s="82">
        <f>+SUM(D19:D29,D34:D35,D50:D58,D62:D62)</f>
        <v>0</v>
      </c>
      <c r="E69" s="82">
        <f t="shared" ref="E69:O69" si="9">+SUM(E19:E29,E34:E35,E50:E58,E62:E62)</f>
        <v>0</v>
      </c>
      <c r="F69" s="82">
        <f t="shared" si="9"/>
        <v>0</v>
      </c>
      <c r="G69" s="82">
        <f t="shared" si="9"/>
        <v>0</v>
      </c>
      <c r="H69" s="82">
        <f t="shared" si="9"/>
        <v>0</v>
      </c>
      <c r="I69" s="82">
        <f t="shared" si="9"/>
        <v>0</v>
      </c>
      <c r="J69" s="82">
        <f t="shared" si="9"/>
        <v>0</v>
      </c>
      <c r="K69" s="82">
        <f t="shared" si="9"/>
        <v>0</v>
      </c>
      <c r="L69" s="82">
        <f t="shared" si="9"/>
        <v>0</v>
      </c>
      <c r="M69" s="82">
        <f t="shared" si="9"/>
        <v>0</v>
      </c>
      <c r="N69" s="82">
        <f t="shared" si="9"/>
        <v>0</v>
      </c>
      <c r="O69" s="82">
        <f t="shared" si="9"/>
        <v>0</v>
      </c>
      <c r="P69" s="81"/>
      <c r="Q69" s="82">
        <f>SUM(D69:O69)</f>
        <v>0</v>
      </c>
      <c r="R69" s="166"/>
    </row>
    <row r="70" spans="1:22" ht="12.75" customHeight="1" x14ac:dyDescent="0.25">
      <c r="A70" s="317" t="s">
        <v>156</v>
      </c>
      <c r="B70" s="323"/>
      <c r="C70" s="311"/>
      <c r="D70" s="81">
        <f>SUM(D68:D69)</f>
        <v>0</v>
      </c>
      <c r="E70" s="81">
        <f t="shared" ref="E70:O70" si="10">SUM(E68:E69)</f>
        <v>0</v>
      </c>
      <c r="F70" s="81">
        <f t="shared" si="10"/>
        <v>0</v>
      </c>
      <c r="G70" s="81">
        <f t="shared" si="10"/>
        <v>0</v>
      </c>
      <c r="H70" s="81">
        <f t="shared" si="10"/>
        <v>0</v>
      </c>
      <c r="I70" s="81">
        <f t="shared" si="10"/>
        <v>0</v>
      </c>
      <c r="J70" s="81">
        <f t="shared" si="10"/>
        <v>0</v>
      </c>
      <c r="K70" s="81">
        <f t="shared" si="10"/>
        <v>0</v>
      </c>
      <c r="L70" s="81">
        <f t="shared" si="10"/>
        <v>0</v>
      </c>
      <c r="M70" s="81">
        <f t="shared" si="10"/>
        <v>0</v>
      </c>
      <c r="N70" s="81">
        <f t="shared" si="10"/>
        <v>0</v>
      </c>
      <c r="O70" s="81">
        <f t="shared" si="10"/>
        <v>0</v>
      </c>
      <c r="P70" s="833"/>
      <c r="Q70" s="834"/>
      <c r="R70" s="169">
        <f>+P68+Q69</f>
        <v>0</v>
      </c>
      <c r="S70" s="170"/>
    </row>
    <row r="71" spans="1:22" ht="12.75" customHeight="1" x14ac:dyDescent="0.25">
      <c r="A71" s="306"/>
      <c r="B71" s="323"/>
      <c r="C71" s="311"/>
      <c r="D71" s="57"/>
      <c r="E71" s="57"/>
      <c r="F71" s="57"/>
      <c r="G71" s="57"/>
      <c r="H71" s="57"/>
      <c r="I71" s="57"/>
      <c r="J71" s="57"/>
      <c r="K71" s="57"/>
      <c r="L71" s="57"/>
      <c r="M71" s="57"/>
      <c r="N71" s="57"/>
      <c r="O71" s="57"/>
      <c r="P71" s="70"/>
      <c r="Q71" s="80"/>
      <c r="R71" s="171"/>
      <c r="S71" s="172"/>
    </row>
    <row r="72" spans="1:22" s="560" customFormat="1" ht="13.8" hidden="1" customHeight="1" x14ac:dyDescent="0.25">
      <c r="A72" s="563"/>
      <c r="B72" s="564"/>
      <c r="C72" s="564"/>
      <c r="D72" s="565"/>
      <c r="E72" s="565"/>
      <c r="F72" s="565"/>
      <c r="G72" s="565"/>
      <c r="H72" s="565"/>
      <c r="I72" s="565"/>
      <c r="J72" s="565"/>
      <c r="K72" s="565"/>
      <c r="L72" s="565"/>
      <c r="M72" s="565"/>
      <c r="N72" s="565"/>
      <c r="O72" s="565"/>
      <c r="P72" s="566"/>
      <c r="Q72" s="567"/>
      <c r="U72" s="561"/>
      <c r="V72" s="561"/>
    </row>
    <row r="73" spans="1:22" s="560" customFormat="1" ht="12.75" hidden="1" customHeight="1" x14ac:dyDescent="0.25">
      <c r="A73" s="568" t="s">
        <v>21</v>
      </c>
      <c r="B73" s="569"/>
      <c r="C73" s="570"/>
      <c r="D73" s="571">
        <f t="shared" ref="D73:O73" si="11">+D38+D65</f>
        <v>0</v>
      </c>
      <c r="E73" s="571">
        <f t="shared" si="11"/>
        <v>0</v>
      </c>
      <c r="F73" s="571">
        <f t="shared" si="11"/>
        <v>0</v>
      </c>
      <c r="G73" s="571">
        <f t="shared" si="11"/>
        <v>0</v>
      </c>
      <c r="H73" s="571">
        <f t="shared" si="11"/>
        <v>0</v>
      </c>
      <c r="I73" s="571">
        <f t="shared" si="11"/>
        <v>0</v>
      </c>
      <c r="J73" s="571">
        <f t="shared" si="11"/>
        <v>0</v>
      </c>
      <c r="K73" s="571">
        <f t="shared" si="11"/>
        <v>0</v>
      </c>
      <c r="L73" s="571">
        <f t="shared" si="11"/>
        <v>0</v>
      </c>
      <c r="M73" s="571">
        <f t="shared" si="11"/>
        <v>0</v>
      </c>
      <c r="N73" s="571">
        <f t="shared" si="11"/>
        <v>0</v>
      </c>
      <c r="O73" s="571">
        <f t="shared" si="11"/>
        <v>0</v>
      </c>
      <c r="P73" s="572">
        <f>+SUM(D73:O73)</f>
        <v>0</v>
      </c>
      <c r="Q73" s="572"/>
      <c r="S73" s="573"/>
      <c r="T73" s="574"/>
      <c r="U73" s="561"/>
      <c r="V73" s="561"/>
    </row>
    <row r="74" spans="1:22" s="560" customFormat="1" ht="12.75" hidden="1" customHeight="1" thickBot="1" x14ac:dyDescent="0.3">
      <c r="A74" s="575" t="s">
        <v>157</v>
      </c>
      <c r="B74" s="576"/>
      <c r="C74" s="577"/>
      <c r="D74" s="578">
        <f>+AVERAGE($D$73:D73)</f>
        <v>0</v>
      </c>
      <c r="E74" s="578">
        <f>+AVERAGE($D$73:E73)</f>
        <v>0</v>
      </c>
      <c r="F74" s="578">
        <f>+AVERAGE($D$73:F73)</f>
        <v>0</v>
      </c>
      <c r="G74" s="578">
        <f>+AVERAGE($D$73:G73)</f>
        <v>0</v>
      </c>
      <c r="H74" s="578">
        <f>+AVERAGE($D$73:H73)</f>
        <v>0</v>
      </c>
      <c r="I74" s="578">
        <f>+AVERAGE($D$73:I73)</f>
        <v>0</v>
      </c>
      <c r="J74" s="578">
        <f>+AVERAGE($D$73:J73)</f>
        <v>0</v>
      </c>
      <c r="K74" s="578">
        <f>+AVERAGE($D$73:K73)</f>
        <v>0</v>
      </c>
      <c r="L74" s="578">
        <f>+AVERAGE($D$73:L73)</f>
        <v>0</v>
      </c>
      <c r="M74" s="578">
        <f>+AVERAGE($D$73:M73)</f>
        <v>0</v>
      </c>
      <c r="N74" s="578">
        <f>+AVERAGE($D$73:N73)</f>
        <v>0</v>
      </c>
      <c r="O74" s="578">
        <f>+AVERAGE($D$73:O73)</f>
        <v>0</v>
      </c>
      <c r="P74" s="579">
        <f>+P73/12</f>
        <v>0</v>
      </c>
      <c r="Q74" s="580"/>
      <c r="R74" s="581" t="s">
        <v>58</v>
      </c>
      <c r="U74" s="561"/>
      <c r="V74" s="561"/>
    </row>
    <row r="75" spans="1:22" s="560" customFormat="1" ht="15.6" hidden="1" customHeight="1" thickBot="1" x14ac:dyDescent="0.3">
      <c r="A75" s="582" t="s">
        <v>229</v>
      </c>
      <c r="B75" s="583"/>
      <c r="C75" s="584"/>
      <c r="D75" s="585">
        <f>+MIN(D73:D74)</f>
        <v>0</v>
      </c>
      <c r="E75" s="585">
        <f t="shared" ref="E75:O75" si="12">+MIN(E73:E74)</f>
        <v>0</v>
      </c>
      <c r="F75" s="585">
        <f t="shared" si="12"/>
        <v>0</v>
      </c>
      <c r="G75" s="585">
        <f t="shared" si="12"/>
        <v>0</v>
      </c>
      <c r="H75" s="585">
        <f t="shared" si="12"/>
        <v>0</v>
      </c>
      <c r="I75" s="585">
        <f t="shared" si="12"/>
        <v>0</v>
      </c>
      <c r="J75" s="585">
        <f t="shared" si="12"/>
        <v>0</v>
      </c>
      <c r="K75" s="585">
        <f t="shared" si="12"/>
        <v>0</v>
      </c>
      <c r="L75" s="585">
        <f t="shared" si="12"/>
        <v>0</v>
      </c>
      <c r="M75" s="585">
        <f t="shared" si="12"/>
        <v>0</v>
      </c>
      <c r="N75" s="585">
        <f t="shared" si="12"/>
        <v>0</v>
      </c>
      <c r="O75" s="585">
        <f t="shared" si="12"/>
        <v>0</v>
      </c>
      <c r="P75" s="586"/>
      <c r="Q75" s="587"/>
      <c r="R75" s="588"/>
      <c r="U75" s="561"/>
      <c r="V75" s="561"/>
    </row>
    <row r="76" spans="1:22" s="560" customFormat="1" ht="12.75" hidden="1" customHeight="1" x14ac:dyDescent="0.25">
      <c r="A76" s="589" t="s">
        <v>349</v>
      </c>
      <c r="B76" s="590"/>
      <c r="C76" s="591"/>
      <c r="D76" s="592">
        <f>+AVERAGE($D$73:D73)</f>
        <v>0</v>
      </c>
      <c r="E76" s="592">
        <f>+AVERAGE($D$73:E73)</f>
        <v>0</v>
      </c>
      <c r="F76" s="592">
        <f>+AVERAGE($D$73:F73)</f>
        <v>0</v>
      </c>
      <c r="G76" s="592">
        <f>+AVERAGE($D$73:G73)</f>
        <v>0</v>
      </c>
      <c r="H76" s="592">
        <f>+AVERAGE($D$73:H73)</f>
        <v>0</v>
      </c>
      <c r="I76" s="592">
        <f>+AVERAGE($D$73:I73)</f>
        <v>0</v>
      </c>
      <c r="J76" s="592">
        <f>+AVERAGE($J$73:J73)</f>
        <v>0</v>
      </c>
      <c r="K76" s="592">
        <f>+AVERAGE($J$73:K73)</f>
        <v>0</v>
      </c>
      <c r="L76" s="592">
        <f>+AVERAGE($J$73:L73)</f>
        <v>0</v>
      </c>
      <c r="M76" s="592">
        <f>+AVERAGE($J$73:M73)</f>
        <v>0</v>
      </c>
      <c r="N76" s="592">
        <f>+AVERAGE($J$73:N73)</f>
        <v>0</v>
      </c>
      <c r="O76" s="592">
        <f>+AVERAGE($J$73:O73)</f>
        <v>0</v>
      </c>
      <c r="P76" s="593"/>
      <c r="Q76" s="593"/>
      <c r="R76" s="594"/>
      <c r="U76" s="561"/>
      <c r="V76" s="561"/>
    </row>
    <row r="77" spans="1:22" s="560" customFormat="1" ht="12.75" hidden="1" customHeight="1" x14ac:dyDescent="0.25">
      <c r="A77" s="568" t="s">
        <v>350</v>
      </c>
      <c r="B77" s="569"/>
      <c r="C77" s="570"/>
      <c r="D77" s="571">
        <f>+AVERAGE($D$73:D$73)</f>
        <v>0</v>
      </c>
      <c r="E77" s="571">
        <f>+AVERAGE($D$73:E$73)</f>
        <v>0</v>
      </c>
      <c r="F77" s="571">
        <f>+AVERAGE($D$73:F$73)</f>
        <v>0</v>
      </c>
      <c r="G77" s="571">
        <f>+AVERAGE($D$73:G$73)</f>
        <v>0</v>
      </c>
      <c r="H77" s="571">
        <f>+AVERAGE($D$73:H$73)</f>
        <v>0</v>
      </c>
      <c r="I77" s="571">
        <f>+AVERAGE($D$73:I$73)</f>
        <v>0</v>
      </c>
      <c r="J77" s="571">
        <f>+AVERAGE($D$73:J$73)</f>
        <v>0</v>
      </c>
      <c r="K77" s="571">
        <f>+AVERAGE($D$73:K$73)</f>
        <v>0</v>
      </c>
      <c r="L77" s="571">
        <f>+AVERAGE($D$73:L$73)</f>
        <v>0</v>
      </c>
      <c r="M77" s="571">
        <f>+AVERAGE($D$73:M$73)</f>
        <v>0</v>
      </c>
      <c r="N77" s="571">
        <f>+AVERAGE($D$73:N$73)</f>
        <v>0</v>
      </c>
      <c r="O77" s="571">
        <f>+AVERAGE($D$73:O$73)</f>
        <v>0</v>
      </c>
      <c r="P77" s="572"/>
      <c r="Q77" s="572"/>
      <c r="R77" s="594"/>
      <c r="U77" s="561"/>
      <c r="V77" s="561"/>
    </row>
    <row r="78" spans="1:22" s="560" customFormat="1" ht="12.75" hidden="1" customHeight="1" x14ac:dyDescent="0.25">
      <c r="A78" s="595" t="s">
        <v>85</v>
      </c>
      <c r="B78" s="596"/>
      <c r="C78" s="597"/>
      <c r="D78" s="598" t="str">
        <f>+IF(D75&lt;=Tablas!D28,"Grupo 1",IF(D75&lt;=Tablas!#REF!,"Grupo 2","Grupo 3"))</f>
        <v>Grupo 1</v>
      </c>
      <c r="E78" s="598" t="str">
        <f>+IF(E75&lt;=Tablas!E28,"Grupo 1",IF(E75&lt;=Tablas!#REF!,"Grupo 2","Grupo 3"))</f>
        <v>Grupo 1</v>
      </c>
      <c r="F78" s="598" t="str">
        <f>+IF(F75&lt;=Tablas!F28,"Grupo 1",IF(F75&lt;=Tablas!#REF!,"Grupo 2","Grupo 3"))</f>
        <v>Grupo 1</v>
      </c>
      <c r="G78" s="598" t="str">
        <f>+IF(G75&lt;=Tablas!G28,"Grupo 1",IF(G75&lt;=Tablas!#REF!,"Grupo 2","Grupo 3"))</f>
        <v>Grupo 1</v>
      </c>
      <c r="H78" s="598" t="str">
        <f>+IF(H75&lt;=Tablas!H28,"Grupo 1",IF(H75&lt;=Tablas!#REF!,"Grupo 2","Grupo 3"))</f>
        <v>Grupo 1</v>
      </c>
      <c r="I78" s="598" t="str">
        <f>+IF(I75&lt;=Tablas!I28,"Grupo 1",IF(I75&lt;=Tablas!#REF!,"Grupo 2","Grupo 3"))</f>
        <v>Grupo 1</v>
      </c>
      <c r="J78" s="598" t="str">
        <f>+IF(J75&lt;=Tablas!J28,"Grupo 1",IF(J75&lt;=Tablas!#REF!,"Grupo 2","Grupo 3"))</f>
        <v>Grupo 1</v>
      </c>
      <c r="K78" s="598" t="str">
        <f>+IF(K75&lt;=Tablas!K28,"Grupo 1",IF(K75&lt;=Tablas!#REF!,"Grupo 2","Grupo 3"))</f>
        <v>Grupo 1</v>
      </c>
      <c r="L78" s="598" t="str">
        <f>+IF(L75&lt;=Tablas!L28,"Grupo 1",IF(L75&lt;=Tablas!#REF!,"Grupo 2","Grupo 3"))</f>
        <v>Grupo 1</v>
      </c>
      <c r="M78" s="598" t="str">
        <f>+IF(M75&lt;=Tablas!M28,"Grupo 1",IF(M75&lt;=Tablas!#REF!,"Grupo 2","Grupo 3"))</f>
        <v>Grupo 1</v>
      </c>
      <c r="N78" s="598" t="str">
        <f>+IF(N75&lt;=Tablas!N28,"Grupo 1",IF(N75&lt;=Tablas!#REF!,"Grupo 2","Grupo 3"))</f>
        <v>Grupo 1</v>
      </c>
      <c r="O78" s="598" t="str">
        <f>+IF(O75&lt;=Tablas!O28,"Grupo 1",IF(O75&lt;=Tablas!#REF!,"Grupo 2","Grupo 3"))</f>
        <v>Grupo 1</v>
      </c>
      <c r="P78" s="572"/>
      <c r="Q78" s="572"/>
      <c r="R78" s="588"/>
      <c r="U78" s="561"/>
      <c r="V78" s="561"/>
    </row>
    <row r="79" spans="1:22" s="560" customFormat="1" ht="12.75" hidden="1" customHeight="1" x14ac:dyDescent="0.25">
      <c r="A79" s="599"/>
      <c r="B79" s="600"/>
      <c r="C79" s="601"/>
      <c r="D79" s="602"/>
      <c r="E79" s="602"/>
      <c r="F79" s="602"/>
      <c r="G79" s="602"/>
      <c r="H79" s="602"/>
      <c r="I79" s="602"/>
      <c r="J79" s="602"/>
      <c r="K79" s="602"/>
      <c r="L79" s="602"/>
      <c r="M79" s="602"/>
      <c r="N79" s="602"/>
      <c r="O79" s="602"/>
      <c r="P79" s="603"/>
      <c r="Q79" s="604"/>
      <c r="R79" s="588"/>
      <c r="U79" s="561"/>
      <c r="V79" s="561"/>
    </row>
    <row r="80" spans="1:22" ht="12.6" customHeight="1" x14ac:dyDescent="0.25">
      <c r="A80" s="319"/>
      <c r="B80" s="174"/>
      <c r="C80" s="174"/>
      <c r="D80" s="175"/>
      <c r="E80" s="175"/>
      <c r="F80" s="175"/>
      <c r="G80" s="175"/>
      <c r="H80" s="175"/>
      <c r="I80" s="175"/>
      <c r="J80" s="175"/>
      <c r="K80" s="175"/>
      <c r="L80" s="175"/>
      <c r="M80" s="175"/>
      <c r="N80" s="175"/>
      <c r="O80" s="175"/>
      <c r="P80" s="4"/>
      <c r="Q80" s="50"/>
    </row>
    <row r="81" spans="1:17" ht="21" customHeight="1" x14ac:dyDescent="0.25">
      <c r="A81" s="320" t="s">
        <v>213</v>
      </c>
      <c r="B81" s="159"/>
      <c r="C81" s="159"/>
      <c r="D81" s="159"/>
      <c r="E81" s="159"/>
      <c r="F81" s="159"/>
      <c r="G81" s="159"/>
      <c r="H81" s="159"/>
      <c r="I81" s="159"/>
      <c r="J81" s="159"/>
      <c r="K81" s="159"/>
      <c r="L81" s="159"/>
      <c r="M81" s="159"/>
      <c r="N81" s="159"/>
      <c r="O81" s="178"/>
      <c r="P81" s="1"/>
      <c r="Q81" s="6"/>
    </row>
    <row r="82" spans="1:17" ht="18" customHeight="1" x14ac:dyDescent="0.25">
      <c r="A82" s="321" t="s">
        <v>230</v>
      </c>
      <c r="B82" s="180"/>
      <c r="C82" s="180"/>
      <c r="D82" s="180"/>
      <c r="E82" s="180"/>
      <c r="F82" s="180"/>
      <c r="G82" s="180"/>
      <c r="H82" s="180"/>
      <c r="I82" s="180"/>
      <c r="J82" s="180"/>
      <c r="K82" s="180"/>
      <c r="L82" s="180"/>
      <c r="M82" s="180"/>
      <c r="N82" s="180"/>
      <c r="O82" s="181"/>
      <c r="P82" s="1"/>
      <c r="Q82" s="6"/>
    </row>
    <row r="83" spans="1:17" ht="12.75" customHeight="1" x14ac:dyDescent="0.25">
      <c r="A83" s="325" t="s">
        <v>214</v>
      </c>
      <c r="B83" s="326"/>
      <c r="C83" s="326"/>
      <c r="D83" s="182">
        <f t="shared" ref="D83:O83" si="13">+SUMIFS(D7:D37,$C7:$C37,"R")</f>
        <v>0</v>
      </c>
      <c r="E83" s="182">
        <f t="shared" si="13"/>
        <v>0</v>
      </c>
      <c r="F83" s="182">
        <f t="shared" si="13"/>
        <v>0</v>
      </c>
      <c r="G83" s="182">
        <f t="shared" si="13"/>
        <v>0</v>
      </c>
      <c r="H83" s="182">
        <f t="shared" si="13"/>
        <v>0</v>
      </c>
      <c r="I83" s="182">
        <f t="shared" si="13"/>
        <v>0</v>
      </c>
      <c r="J83" s="182">
        <f t="shared" si="13"/>
        <v>0</v>
      </c>
      <c r="K83" s="182">
        <f t="shared" si="13"/>
        <v>0</v>
      </c>
      <c r="L83" s="182">
        <f t="shared" si="13"/>
        <v>0</v>
      </c>
      <c r="M83" s="182">
        <f t="shared" si="13"/>
        <v>0</v>
      </c>
      <c r="N83" s="182">
        <f t="shared" si="13"/>
        <v>0</v>
      </c>
      <c r="O83" s="182">
        <f t="shared" si="13"/>
        <v>0</v>
      </c>
      <c r="P83" s="75"/>
      <c r="Q83" s="6"/>
    </row>
    <row r="84" spans="1:17" ht="12.75" customHeight="1" x14ac:dyDescent="0.25">
      <c r="A84" s="325" t="s">
        <v>215</v>
      </c>
      <c r="B84" s="326"/>
      <c r="C84" s="326"/>
      <c r="D84" s="182">
        <f>+IF(D2="SI",Tablas!D27,Tablas!D32)/30*30</f>
        <v>1157112.83</v>
      </c>
      <c r="E84" s="182">
        <f>+IF(E2="SI",Tablas!E27,Tablas!D27)/30*30</f>
        <v>1157112.83</v>
      </c>
      <c r="F84" s="182">
        <f>+IF(F2="SI",Tablas!F27,Tablas!E27)/30*30</f>
        <v>1471616.1</v>
      </c>
      <c r="G84" s="182">
        <f>+IF(G2="SI",Tablas!G27,Tablas!F27)/30*30</f>
        <v>1874838.91</v>
      </c>
      <c r="H84" s="182">
        <f>+IF(H2="SI",Tablas!H27,Tablas!G27)/30*30</f>
        <v>2081258.6700000002</v>
      </c>
      <c r="I84" s="182">
        <f>+IF(I2="SI",Tablas!I27,Tablas!H27)/30*30</f>
        <v>2265033.81</v>
      </c>
      <c r="J84" s="182">
        <f>+IF(J2="SI",Tablas!J27,Tablas!I27)/30*30</f>
        <v>2359712.2200000002</v>
      </c>
      <c r="K84" s="182">
        <f>+IF(K2="SI",Tablas!K27,Tablas!J27)/30*30</f>
        <v>2467787.04</v>
      </c>
      <c r="L84" s="182">
        <f>+IF(L2="SI",Tablas!L27,Tablas!K27)/30*30</f>
        <v>2567238.86</v>
      </c>
      <c r="M84" s="182">
        <f>+IF(M2="SI",Tablas!M27,Tablas!L27)/30*30</f>
        <v>2674292.7200000002</v>
      </c>
      <c r="N84" s="182">
        <f>+IF(N2="SI",Tablas!N27,Tablas!M27)/30*30</f>
        <v>2674292.7200000002</v>
      </c>
      <c r="O84" s="182">
        <f>+IF(O2="SI",Tablas!O27,Tablas!N27)/30*30</f>
        <v>2674292.7200000002</v>
      </c>
      <c r="P84" s="75"/>
      <c r="Q84" s="6"/>
    </row>
    <row r="85" spans="1:17" ht="12.75" customHeight="1" x14ac:dyDescent="0.25">
      <c r="A85" s="325" t="s">
        <v>167</v>
      </c>
      <c r="B85" s="326"/>
      <c r="C85" s="326"/>
      <c r="D85" s="330">
        <f>+MIN(D83:D84)</f>
        <v>0</v>
      </c>
      <c r="E85" s="330">
        <f t="shared" ref="E85:O85" si="14">+MIN(E83:E84)</f>
        <v>0</v>
      </c>
      <c r="F85" s="330">
        <f t="shared" si="14"/>
        <v>0</v>
      </c>
      <c r="G85" s="330">
        <f t="shared" si="14"/>
        <v>0</v>
      </c>
      <c r="H85" s="330">
        <f t="shared" si="14"/>
        <v>0</v>
      </c>
      <c r="I85" s="330">
        <f t="shared" si="14"/>
        <v>0</v>
      </c>
      <c r="J85" s="330">
        <f t="shared" si="14"/>
        <v>0</v>
      </c>
      <c r="K85" s="330">
        <f t="shared" si="14"/>
        <v>0</v>
      </c>
      <c r="L85" s="330">
        <f t="shared" si="14"/>
        <v>0</v>
      </c>
      <c r="M85" s="330">
        <f t="shared" si="14"/>
        <v>0</v>
      </c>
      <c r="N85" s="330">
        <f t="shared" si="14"/>
        <v>0</v>
      </c>
      <c r="O85" s="330">
        <f t="shared" si="14"/>
        <v>0</v>
      </c>
      <c r="P85" s="75"/>
      <c r="Q85" s="6"/>
    </row>
    <row r="86" spans="1:17" ht="12.75" customHeight="1" x14ac:dyDescent="0.25">
      <c r="A86" s="56" t="str">
        <f>Tablas!C37</f>
        <v>Jubilación</v>
      </c>
      <c r="B86" s="311"/>
      <c r="C86" s="327"/>
      <c r="D86" s="63">
        <f>+D$85*Tablas!D37</f>
        <v>0</v>
      </c>
      <c r="E86" s="63">
        <f>+E$85*Tablas!E37</f>
        <v>0</v>
      </c>
      <c r="F86" s="63">
        <f>+F$85*Tablas!F37</f>
        <v>0</v>
      </c>
      <c r="G86" s="63">
        <f>+G$85*Tablas!G37</f>
        <v>0</v>
      </c>
      <c r="H86" s="63">
        <f>+H$85*Tablas!H37</f>
        <v>0</v>
      </c>
      <c r="I86" s="63">
        <f>+I$85*Tablas!I37</f>
        <v>0</v>
      </c>
      <c r="J86" s="63">
        <f>+J$85*Tablas!J37</f>
        <v>0</v>
      </c>
      <c r="K86" s="63">
        <f>+K$85*Tablas!K37</f>
        <v>0</v>
      </c>
      <c r="L86" s="63">
        <f>+L$85*Tablas!L37</f>
        <v>0</v>
      </c>
      <c r="M86" s="63">
        <f>+M$85*Tablas!M37</f>
        <v>0</v>
      </c>
      <c r="N86" s="63">
        <f>+N$85*Tablas!N37</f>
        <v>0</v>
      </c>
      <c r="O86" s="63">
        <f>+O$85*Tablas!O37</f>
        <v>0</v>
      </c>
      <c r="P86" s="61"/>
      <c r="Q86" s="51"/>
    </row>
    <row r="87" spans="1:17" ht="12.75" customHeight="1" x14ac:dyDescent="0.25">
      <c r="A87" s="56" t="str">
        <f>Tablas!C38</f>
        <v>INSSJP</v>
      </c>
      <c r="B87" s="311"/>
      <c r="C87" s="327"/>
      <c r="D87" s="63">
        <f>+D$85*Tablas!D38</f>
        <v>0</v>
      </c>
      <c r="E87" s="63">
        <f>+E$85*Tablas!E38</f>
        <v>0</v>
      </c>
      <c r="F87" s="63">
        <f>+F$85*Tablas!F38</f>
        <v>0</v>
      </c>
      <c r="G87" s="63">
        <f>+G$85*Tablas!G38</f>
        <v>0</v>
      </c>
      <c r="H87" s="63">
        <f>+H$85*Tablas!H38</f>
        <v>0</v>
      </c>
      <c r="I87" s="63">
        <f>+I$85*Tablas!I38</f>
        <v>0</v>
      </c>
      <c r="J87" s="63">
        <f>+J$85*Tablas!J38</f>
        <v>0</v>
      </c>
      <c r="K87" s="63">
        <f>+K$85*Tablas!K38</f>
        <v>0</v>
      </c>
      <c r="L87" s="63">
        <f>+L$85*Tablas!L38</f>
        <v>0</v>
      </c>
      <c r="M87" s="63">
        <f>+M$85*Tablas!M38</f>
        <v>0</v>
      </c>
      <c r="N87" s="63">
        <f>+N$85*Tablas!N38</f>
        <v>0</v>
      </c>
      <c r="O87" s="63">
        <f>+O$85*Tablas!O38</f>
        <v>0</v>
      </c>
      <c r="P87" s="61"/>
      <c r="Q87" s="51"/>
    </row>
    <row r="88" spans="1:17" ht="12.75" customHeight="1" x14ac:dyDescent="0.25">
      <c r="A88" s="56" t="str">
        <f>Tablas!C39</f>
        <v>Obra Social</v>
      </c>
      <c r="B88" s="311"/>
      <c r="C88" s="327"/>
      <c r="D88" s="63">
        <f>+D$85*Tablas!D39</f>
        <v>0</v>
      </c>
      <c r="E88" s="63">
        <f>+E$85*Tablas!E39</f>
        <v>0</v>
      </c>
      <c r="F88" s="63">
        <f>+F$85*Tablas!F39</f>
        <v>0</v>
      </c>
      <c r="G88" s="63">
        <f>+G$85*Tablas!G39</f>
        <v>0</v>
      </c>
      <c r="H88" s="63">
        <f>+H$85*Tablas!H39</f>
        <v>0</v>
      </c>
      <c r="I88" s="63">
        <f>+I$85*Tablas!I39</f>
        <v>0</v>
      </c>
      <c r="J88" s="63">
        <f>+J$85*Tablas!J39</f>
        <v>0</v>
      </c>
      <c r="K88" s="63">
        <f>+K$85*Tablas!K39</f>
        <v>0</v>
      </c>
      <c r="L88" s="63">
        <f>+L$85*Tablas!L39</f>
        <v>0</v>
      </c>
      <c r="M88" s="63">
        <f>+M$85*Tablas!M39</f>
        <v>0</v>
      </c>
      <c r="N88" s="63">
        <f>+N$85*Tablas!N39</f>
        <v>0</v>
      </c>
      <c r="O88" s="63">
        <f>+O$85*Tablas!O39</f>
        <v>0</v>
      </c>
      <c r="P88" s="61"/>
      <c r="Q88" s="51"/>
    </row>
    <row r="89" spans="1:17" ht="12.75" customHeight="1" x14ac:dyDescent="0.25">
      <c r="A89" s="56" t="str">
        <f>+Tablas!C40</f>
        <v>Sindicato</v>
      </c>
      <c r="B89" s="311"/>
      <c r="C89" s="327"/>
      <c r="D89" s="63">
        <f>+D$83*Tablas!D40</f>
        <v>0</v>
      </c>
      <c r="E89" s="63">
        <f>+E$83*Tablas!E40</f>
        <v>0</v>
      </c>
      <c r="F89" s="63">
        <f>+F$83*Tablas!F40</f>
        <v>0</v>
      </c>
      <c r="G89" s="63">
        <f>+G$83*Tablas!G40</f>
        <v>0</v>
      </c>
      <c r="H89" s="63">
        <f>+H$83*Tablas!H40</f>
        <v>0</v>
      </c>
      <c r="I89" s="63">
        <f>+I$83*Tablas!I40</f>
        <v>0</v>
      </c>
      <c r="J89" s="63">
        <f>+J$83*Tablas!J40</f>
        <v>0</v>
      </c>
      <c r="K89" s="63">
        <f>+K$83*Tablas!K40</f>
        <v>0</v>
      </c>
      <c r="L89" s="63">
        <f>+L$83*Tablas!L40</f>
        <v>0</v>
      </c>
      <c r="M89" s="63">
        <f>+M$83*Tablas!M40</f>
        <v>0</v>
      </c>
      <c r="N89" s="63">
        <f>+N$83*Tablas!N40</f>
        <v>0</v>
      </c>
      <c r="O89" s="63">
        <f>+O$83*Tablas!O40</f>
        <v>0</v>
      </c>
      <c r="P89" s="61"/>
      <c r="Q89" s="51"/>
    </row>
    <row r="90" spans="1:17" ht="12.75" customHeight="1" x14ac:dyDescent="0.25">
      <c r="A90" s="663" t="s">
        <v>26</v>
      </c>
      <c r="B90" s="311"/>
      <c r="C90" s="327"/>
      <c r="D90" s="63">
        <v>0</v>
      </c>
      <c r="E90" s="55">
        <v>0</v>
      </c>
      <c r="F90" s="55">
        <v>0</v>
      </c>
      <c r="G90" s="55">
        <v>0</v>
      </c>
      <c r="H90" s="55">
        <v>0</v>
      </c>
      <c r="I90" s="55">
        <v>0</v>
      </c>
      <c r="J90" s="55">
        <v>0</v>
      </c>
      <c r="K90" s="55">
        <v>0</v>
      </c>
      <c r="L90" s="55">
        <v>0</v>
      </c>
      <c r="M90" s="55">
        <v>0</v>
      </c>
      <c r="N90" s="55">
        <v>0</v>
      </c>
      <c r="O90" s="55">
        <v>0</v>
      </c>
      <c r="P90" s="61"/>
      <c r="Q90" s="51"/>
    </row>
    <row r="91" spans="1:17" ht="15" customHeight="1" x14ac:dyDescent="0.25">
      <c r="A91" s="168" t="s">
        <v>161</v>
      </c>
      <c r="B91" s="328"/>
      <c r="C91" s="329"/>
      <c r="D91" s="81">
        <f>SUM(D86:D90)</f>
        <v>0</v>
      </c>
      <c r="E91" s="81">
        <f t="shared" ref="E91:O91" si="15">SUM(E86:E90)</f>
        <v>0</v>
      </c>
      <c r="F91" s="81">
        <f t="shared" si="15"/>
        <v>0</v>
      </c>
      <c r="G91" s="81">
        <f t="shared" si="15"/>
        <v>0</v>
      </c>
      <c r="H91" s="81">
        <f t="shared" si="15"/>
        <v>0</v>
      </c>
      <c r="I91" s="81">
        <f t="shared" si="15"/>
        <v>0</v>
      </c>
      <c r="J91" s="81">
        <f t="shared" si="15"/>
        <v>0</v>
      </c>
      <c r="K91" s="81">
        <f t="shared" si="15"/>
        <v>0</v>
      </c>
      <c r="L91" s="81">
        <f t="shared" si="15"/>
        <v>0</v>
      </c>
      <c r="M91" s="81">
        <f t="shared" si="15"/>
        <v>0</v>
      </c>
      <c r="N91" s="81">
        <f t="shared" si="15"/>
        <v>0</v>
      </c>
      <c r="O91" s="81">
        <f t="shared" si="15"/>
        <v>0</v>
      </c>
      <c r="P91" s="61"/>
      <c r="Q91" s="51"/>
    </row>
    <row r="92" spans="1:17" ht="7.8" customHeight="1" x14ac:dyDescent="0.25">
      <c r="A92" s="184"/>
      <c r="B92" s="160"/>
      <c r="C92" s="185"/>
      <c r="D92" s="186"/>
      <c r="E92" s="186"/>
      <c r="F92" s="186"/>
      <c r="G92" s="186"/>
      <c r="H92" s="186"/>
      <c r="I92" s="186"/>
      <c r="J92" s="186"/>
      <c r="K92" s="186"/>
      <c r="L92" s="186"/>
      <c r="M92" s="186"/>
      <c r="N92" s="186"/>
      <c r="O92" s="186"/>
      <c r="P92" s="61"/>
      <c r="Q92" s="51"/>
    </row>
    <row r="93" spans="1:17" ht="16.8" customHeight="1" x14ac:dyDescent="0.25">
      <c r="A93" s="331" t="s">
        <v>231</v>
      </c>
      <c r="B93" s="332"/>
      <c r="C93" s="333">
        <f>SUM(C94:C96)</f>
        <v>17</v>
      </c>
      <c r="D93" s="334"/>
      <c r="E93" s="334"/>
      <c r="F93" s="334"/>
      <c r="G93" s="334"/>
      <c r="H93" s="334"/>
      <c r="I93" s="334"/>
      <c r="J93" s="334"/>
      <c r="K93" s="334"/>
      <c r="L93" s="334"/>
      <c r="M93" s="334"/>
      <c r="N93" s="334"/>
      <c r="O93" s="335"/>
      <c r="P93" s="7"/>
      <c r="Q93" s="51"/>
    </row>
    <row r="94" spans="1:17" ht="12.75" customHeight="1" x14ac:dyDescent="0.25">
      <c r="A94" s="336" t="s">
        <v>158</v>
      </c>
      <c r="B94" s="183"/>
      <c r="C94" s="110">
        <f>11+3</f>
        <v>14</v>
      </c>
      <c r="D94" s="55">
        <v>0</v>
      </c>
      <c r="E94" s="55">
        <v>0</v>
      </c>
      <c r="F94" s="55">
        <v>0</v>
      </c>
      <c r="G94" s="55">
        <v>0</v>
      </c>
      <c r="H94" s="55">
        <v>0</v>
      </c>
      <c r="I94" s="55">
        <v>0</v>
      </c>
      <c r="J94" s="55">
        <v>0</v>
      </c>
      <c r="K94" s="55">
        <v>0</v>
      </c>
      <c r="L94" s="55">
        <v>0</v>
      </c>
      <c r="M94" s="55">
        <v>0</v>
      </c>
      <c r="N94" s="55">
        <v>0</v>
      </c>
      <c r="O94" s="55">
        <v>0</v>
      </c>
      <c r="P94" s="61"/>
      <c r="Q94" s="51"/>
    </row>
    <row r="95" spans="1:17" ht="12.75" customHeight="1" x14ac:dyDescent="0.25">
      <c r="A95" s="336" t="s">
        <v>159</v>
      </c>
      <c r="B95" s="183"/>
      <c r="C95" s="110">
        <v>3</v>
      </c>
      <c r="D95" s="55">
        <v>0</v>
      </c>
      <c r="E95" s="55">
        <v>0</v>
      </c>
      <c r="F95" s="55">
        <v>0</v>
      </c>
      <c r="G95" s="55">
        <v>0</v>
      </c>
      <c r="H95" s="55">
        <v>0</v>
      </c>
      <c r="I95" s="55">
        <v>0</v>
      </c>
      <c r="J95" s="55">
        <v>0</v>
      </c>
      <c r="K95" s="55">
        <v>0</v>
      </c>
      <c r="L95" s="55">
        <v>0</v>
      </c>
      <c r="M95" s="55">
        <v>0</v>
      </c>
      <c r="N95" s="55">
        <v>0</v>
      </c>
      <c r="O95" s="55">
        <v>0</v>
      </c>
      <c r="P95" s="61"/>
      <c r="Q95" s="51"/>
    </row>
    <row r="96" spans="1:17" ht="12.75" customHeight="1" x14ac:dyDescent="0.25">
      <c r="A96" s="336" t="s">
        <v>160</v>
      </c>
      <c r="B96" s="183"/>
      <c r="C96" s="110">
        <v>0</v>
      </c>
      <c r="D96" s="55">
        <v>0</v>
      </c>
      <c r="E96" s="55">
        <v>0</v>
      </c>
      <c r="F96" s="55">
        <v>0</v>
      </c>
      <c r="G96" s="55">
        <v>0</v>
      </c>
      <c r="H96" s="55">
        <v>0</v>
      </c>
      <c r="I96" s="55">
        <v>0</v>
      </c>
      <c r="J96" s="55">
        <v>0</v>
      </c>
      <c r="K96" s="55">
        <v>0</v>
      </c>
      <c r="L96" s="55">
        <v>0</v>
      </c>
      <c r="M96" s="55">
        <v>0</v>
      </c>
      <c r="N96" s="55">
        <v>0</v>
      </c>
      <c r="O96" s="55">
        <v>0</v>
      </c>
      <c r="P96" s="61"/>
      <c r="Q96" s="51"/>
    </row>
    <row r="97" spans="1:22" ht="13.8" customHeight="1" x14ac:dyDescent="0.25">
      <c r="A97" s="337" t="s">
        <v>162</v>
      </c>
      <c r="B97" s="183"/>
      <c r="C97" s="111"/>
      <c r="D97" s="339">
        <f>SUM(D94:D96)</f>
        <v>0</v>
      </c>
      <c r="E97" s="339">
        <f t="shared" ref="E97:O97" si="16">SUM(E94:E96)</f>
        <v>0</v>
      </c>
      <c r="F97" s="339">
        <f t="shared" si="16"/>
        <v>0</v>
      </c>
      <c r="G97" s="339">
        <f t="shared" si="16"/>
        <v>0</v>
      </c>
      <c r="H97" s="339">
        <f t="shared" si="16"/>
        <v>0</v>
      </c>
      <c r="I97" s="339">
        <f t="shared" si="16"/>
        <v>0</v>
      </c>
      <c r="J97" s="339">
        <f t="shared" si="16"/>
        <v>0</v>
      </c>
      <c r="K97" s="339">
        <f t="shared" si="16"/>
        <v>0</v>
      </c>
      <c r="L97" s="339">
        <f t="shared" si="16"/>
        <v>0</v>
      </c>
      <c r="M97" s="339">
        <f t="shared" si="16"/>
        <v>0</v>
      </c>
      <c r="N97" s="339">
        <f t="shared" si="16"/>
        <v>0</v>
      </c>
      <c r="O97" s="339">
        <f t="shared" si="16"/>
        <v>0</v>
      </c>
      <c r="P97" s="61"/>
      <c r="Q97" s="51"/>
    </row>
    <row r="98" spans="1:22" ht="18" customHeight="1" x14ac:dyDescent="0.25">
      <c r="A98" s="338" t="s">
        <v>63</v>
      </c>
      <c r="B98" s="177"/>
      <c r="C98" s="62"/>
      <c r="D98" s="65">
        <f>+D91+D97</f>
        <v>0</v>
      </c>
      <c r="E98" s="65">
        <f t="shared" ref="E98:O98" si="17">+E91+E97</f>
        <v>0</v>
      </c>
      <c r="F98" s="65">
        <f t="shared" si="17"/>
        <v>0</v>
      </c>
      <c r="G98" s="65">
        <f t="shared" si="17"/>
        <v>0</v>
      </c>
      <c r="H98" s="65">
        <f t="shared" si="17"/>
        <v>0</v>
      </c>
      <c r="I98" s="65">
        <f t="shared" si="17"/>
        <v>0</v>
      </c>
      <c r="J98" s="65">
        <f t="shared" si="17"/>
        <v>0</v>
      </c>
      <c r="K98" s="65">
        <f t="shared" si="17"/>
        <v>0</v>
      </c>
      <c r="L98" s="65">
        <f t="shared" si="17"/>
        <v>0</v>
      </c>
      <c r="M98" s="65">
        <f t="shared" si="17"/>
        <v>0</v>
      </c>
      <c r="N98" s="65">
        <f t="shared" si="17"/>
        <v>0</v>
      </c>
      <c r="O98" s="65">
        <f t="shared" si="17"/>
        <v>0</v>
      </c>
      <c r="P98" s="64"/>
      <c r="Q98" s="52"/>
    </row>
    <row r="99" spans="1:22" ht="6" customHeight="1" x14ac:dyDescent="0.25">
      <c r="A99" s="188"/>
      <c r="B99" s="189"/>
      <c r="C99" s="189"/>
      <c r="D99" s="190"/>
      <c r="E99" s="190"/>
      <c r="F99" s="190"/>
      <c r="G99" s="190"/>
      <c r="H99" s="190"/>
      <c r="I99" s="190"/>
      <c r="J99" s="190"/>
      <c r="K99" s="191"/>
      <c r="L99" s="190"/>
      <c r="M99" s="190"/>
      <c r="N99" s="190"/>
      <c r="O99" s="190"/>
      <c r="P99" s="130"/>
      <c r="Q99" s="131"/>
    </row>
    <row r="100" spans="1:22" ht="17.399999999999999" customHeight="1" x14ac:dyDescent="0.25">
      <c r="A100" s="340" t="s">
        <v>163</v>
      </c>
      <c r="B100" s="192"/>
      <c r="C100" s="192"/>
      <c r="D100" s="192"/>
      <c r="E100" s="192"/>
      <c r="F100" s="192"/>
      <c r="G100" s="192"/>
      <c r="H100" s="192"/>
      <c r="I100" s="192"/>
      <c r="J100" s="192"/>
      <c r="K100" s="192"/>
      <c r="L100" s="192"/>
      <c r="M100" s="192"/>
      <c r="N100" s="192"/>
      <c r="O100" s="193"/>
      <c r="P100" s="9"/>
      <c r="Q100" s="5"/>
      <c r="R100" s="166"/>
      <c r="U100" s="486"/>
      <c r="V100" s="486"/>
    </row>
    <row r="101" spans="1:22" ht="12.75" customHeight="1" x14ac:dyDescent="0.25">
      <c r="A101" s="341" t="s">
        <v>288</v>
      </c>
      <c r="B101" s="194" t="s">
        <v>189</v>
      </c>
      <c r="C101" s="194"/>
      <c r="D101" s="69">
        <f t="shared" ref="D101:N101" si="18">IF(D2="SI",SUMIFS(D7:D37,$C7:$C37,"R",$B7:$B37,"H")+D361,SUMIFS(E7:E37,$C7:$C37,"R",$B7:$B37,"H")+E361)</f>
        <v>0</v>
      </c>
      <c r="E101" s="69">
        <f t="shared" si="18"/>
        <v>0</v>
      </c>
      <c r="F101" s="69">
        <f t="shared" si="18"/>
        <v>0</v>
      </c>
      <c r="G101" s="69">
        <f t="shared" si="18"/>
        <v>0</v>
      </c>
      <c r="H101" s="69">
        <f t="shared" si="18"/>
        <v>0</v>
      </c>
      <c r="I101" s="69">
        <f t="shared" si="18"/>
        <v>0</v>
      </c>
      <c r="J101" s="69">
        <f t="shared" si="18"/>
        <v>0</v>
      </c>
      <c r="K101" s="69">
        <f t="shared" si="18"/>
        <v>0</v>
      </c>
      <c r="L101" s="69">
        <f t="shared" si="18"/>
        <v>0</v>
      </c>
      <c r="M101" s="69">
        <f t="shared" si="18"/>
        <v>0</v>
      </c>
      <c r="N101" s="69">
        <f t="shared" si="18"/>
        <v>0</v>
      </c>
      <c r="O101" s="69">
        <f>IF(O2="SI",SUMIFS(O7:O37,$C7:$C37,"R",$B7:$B37,"H")+O361,0)</f>
        <v>0</v>
      </c>
      <c r="P101" s="68"/>
      <c r="Q101" s="5"/>
      <c r="R101" s="166"/>
      <c r="U101" s="486"/>
      <c r="V101" s="486"/>
    </row>
    <row r="102" spans="1:22" ht="12.75" customHeight="1" x14ac:dyDescent="0.25">
      <c r="A102" s="342"/>
      <c r="B102" s="59"/>
      <c r="C102" s="195"/>
      <c r="D102" s="15"/>
      <c r="E102" s="15"/>
      <c r="F102" s="15"/>
      <c r="G102" s="15"/>
      <c r="H102" s="15"/>
      <c r="I102" s="15"/>
      <c r="J102" s="15"/>
      <c r="K102" s="15"/>
      <c r="L102" s="15"/>
      <c r="M102" s="15"/>
      <c r="N102" s="15"/>
      <c r="O102" s="15"/>
      <c r="P102" s="9"/>
      <c r="Q102" s="5"/>
      <c r="R102" s="166"/>
      <c r="U102" s="486"/>
      <c r="V102" s="486"/>
    </row>
    <row r="103" spans="1:22" ht="12.75" customHeight="1" x14ac:dyDescent="0.2">
      <c r="A103" s="343" t="s">
        <v>390</v>
      </c>
      <c r="B103" s="195"/>
      <c r="C103" s="195"/>
      <c r="D103" s="55">
        <v>0</v>
      </c>
      <c r="E103" s="55">
        <v>0</v>
      </c>
      <c r="F103" s="55">
        <v>0</v>
      </c>
      <c r="G103" s="55">
        <v>0</v>
      </c>
      <c r="H103" s="55">
        <v>0</v>
      </c>
      <c r="I103" s="67">
        <f>+MAX($D101:I101)/2*180/180-I104</f>
        <v>0</v>
      </c>
      <c r="J103" s="55">
        <v>0</v>
      </c>
      <c r="K103" s="55">
        <v>0</v>
      </c>
      <c r="L103" s="55">
        <v>0</v>
      </c>
      <c r="M103" s="55">
        <v>0</v>
      </c>
      <c r="N103" s="55">
        <v>0</v>
      </c>
      <c r="O103" s="67">
        <f>+MAX($J101:O101)/2*180/180-O104</f>
        <v>0</v>
      </c>
      <c r="P103" s="448">
        <f>SUM(D103:O103)</f>
        <v>0</v>
      </c>
      <c r="Q103" s="542"/>
      <c r="R103" s="513"/>
      <c r="S103" s="197"/>
      <c r="T103" s="198">
        <f>+I103</f>
        <v>0</v>
      </c>
      <c r="U103" s="487" t="s">
        <v>387</v>
      </c>
      <c r="V103" s="489"/>
    </row>
    <row r="104" spans="1:22" s="560" customFormat="1" ht="12.75" hidden="1" customHeight="1" x14ac:dyDescent="0.2">
      <c r="A104" s="605" t="s">
        <v>165</v>
      </c>
      <c r="B104" s="606"/>
      <c r="C104" s="607"/>
      <c r="D104" s="556">
        <v>0</v>
      </c>
      <c r="E104" s="556">
        <v>0</v>
      </c>
      <c r="F104" s="556">
        <v>0</v>
      </c>
      <c r="G104" s="556">
        <v>0</v>
      </c>
      <c r="H104" s="556">
        <v>0</v>
      </c>
      <c r="I104" s="608">
        <f>+IF(I76&lt;=Tablas!$I$29,MIN(Tablas!$I$29*0.5/180*180,MAX($D101:I101)/2*180/180),0)</f>
        <v>0</v>
      </c>
      <c r="J104" s="556">
        <v>0</v>
      </c>
      <c r="K104" s="556">
        <v>0</v>
      </c>
      <c r="L104" s="556">
        <v>0</v>
      </c>
      <c r="M104" s="556">
        <v>0</v>
      </c>
      <c r="N104" s="556">
        <v>0</v>
      </c>
      <c r="O104" s="608">
        <f>+IF(O76&lt;=Tablas!$O$29,MIN(Tablas!$O$29*0.5/180*180,MAX($J101:O101)/2*180/180),0)</f>
        <v>0</v>
      </c>
      <c r="P104" s="609"/>
      <c r="Q104" s="610">
        <f>+SUM(D103:O104)-P103</f>
        <v>0</v>
      </c>
      <c r="R104" s="559"/>
      <c r="S104" s="611"/>
      <c r="T104" s="612"/>
      <c r="U104" s="613"/>
      <c r="V104" s="613" t="s">
        <v>235</v>
      </c>
    </row>
    <row r="105" spans="1:22" ht="12.75" customHeight="1" x14ac:dyDescent="0.25">
      <c r="A105" s="196" t="str">
        <f>Tablas!C37</f>
        <v>Jubilación</v>
      </c>
      <c r="B105" s="195"/>
      <c r="C105" s="200"/>
      <c r="D105" s="55">
        <f>+MIN((SUM(D$103:D$104)*Tablas!D37),Tablas!D$27*0.5*Tablas!D37)</f>
        <v>0</v>
      </c>
      <c r="E105" s="55">
        <f>+MIN((SUM(E$103:E$104)*Tablas!E37),Tablas!E$27*0.5*Tablas!E37)</f>
        <v>0</v>
      </c>
      <c r="F105" s="55">
        <f>+MIN((SUM(F$103:F$104)*Tablas!F37),Tablas!F$27*0.5*Tablas!F37)</f>
        <v>0</v>
      </c>
      <c r="G105" s="55">
        <f>+MIN((SUM(G$103:G$104)*Tablas!G37),Tablas!G$27*0.5*Tablas!G37)</f>
        <v>0</v>
      </c>
      <c r="H105" s="55">
        <f>+MIN((SUM(H$103:H$104)*Tablas!H37),Tablas!H$27*0.5*Tablas!H37)</f>
        <v>0</v>
      </c>
      <c r="I105" s="55">
        <f>+MIN((SUM(I$103:I$104)*Tablas!I37),Tablas!I$27*0.5*Tablas!I37/180*180)</f>
        <v>0</v>
      </c>
      <c r="J105" s="55">
        <f>+MIN((SUM(J$103:J$104)*Tablas!J37),Tablas!J$27*0.5*Tablas!J37)</f>
        <v>0</v>
      </c>
      <c r="K105" s="55">
        <f>+MIN((SUM(K$103:K$104)*Tablas!K37),Tablas!K$27*0.5*Tablas!K37)</f>
        <v>0</v>
      </c>
      <c r="L105" s="55">
        <f>+MIN((SUM(L$103:L$104)*Tablas!L37),Tablas!L$27*0.5*Tablas!L37)</f>
        <v>0</v>
      </c>
      <c r="M105" s="55">
        <f>+MIN((SUM(M$103:M$104)*Tablas!M37),Tablas!M$27*0.5*Tablas!M37)</f>
        <v>0</v>
      </c>
      <c r="N105" s="55">
        <f>+MIN((SUM(N$103:N$104)*Tablas!N37),Tablas!N$27*0.5*Tablas!N37)</f>
        <v>0</v>
      </c>
      <c r="O105" s="55">
        <f>+MIN((SUM(O$103:O$104)*Tablas!O37),Tablas!O$27*0.5*Tablas!O37/180*180)</f>
        <v>0</v>
      </c>
      <c r="P105" s="61" t="e">
        <f>+SUM(D105:O105)/SUM($D$103:$O$104)*$P$103</f>
        <v>#DIV/0!</v>
      </c>
      <c r="Q105" s="51"/>
      <c r="R105" s="166"/>
      <c r="T105" s="201">
        <f>+O103</f>
        <v>0</v>
      </c>
      <c r="U105" s="486" t="s">
        <v>388</v>
      </c>
      <c r="V105" s="486"/>
    </row>
    <row r="106" spans="1:22" ht="12.75" customHeight="1" x14ac:dyDescent="0.25">
      <c r="A106" s="196" t="str">
        <f>Tablas!C38</f>
        <v>INSSJP</v>
      </c>
      <c r="B106" s="195"/>
      <c r="C106" s="200"/>
      <c r="D106" s="55">
        <f>+MIN((SUM(D$103:D$104)*Tablas!D38),Tablas!D$27*0.5*Tablas!D38)</f>
        <v>0</v>
      </c>
      <c r="E106" s="55">
        <f>+MIN((SUM(E$103:E$104)*Tablas!E38),Tablas!E$27*0.5*Tablas!E38)</f>
        <v>0</v>
      </c>
      <c r="F106" s="55">
        <f>+MIN((SUM(F$103:F$104)*Tablas!F38),Tablas!F$27*0.5*Tablas!F38)</f>
        <v>0</v>
      </c>
      <c r="G106" s="55">
        <f>+MIN((SUM(G$103:G$104)*Tablas!G38),Tablas!G$27*0.5*Tablas!G38)</f>
        <v>0</v>
      </c>
      <c r="H106" s="55">
        <f>+MIN((SUM(H$103:H$104)*Tablas!H38),Tablas!H$27*0.5*Tablas!H38)</f>
        <v>0</v>
      </c>
      <c r="I106" s="55">
        <f>+MIN((SUM(I$103:I$104)*Tablas!I38),Tablas!I$27*0.5*Tablas!I38/180*180)</f>
        <v>0</v>
      </c>
      <c r="J106" s="55">
        <f>+MIN((SUM(J$103:J$104)*Tablas!J38),Tablas!J$27*0.5*Tablas!J38)</f>
        <v>0</v>
      </c>
      <c r="K106" s="55">
        <f>+MIN((SUM(K$103:K$104)*Tablas!K38),Tablas!K$27*0.5*Tablas!K38)</f>
        <v>0</v>
      </c>
      <c r="L106" s="55">
        <f>+MIN((SUM(L$103:L$104)*Tablas!L38),Tablas!L$27*0.5*Tablas!L38)</f>
        <v>0</v>
      </c>
      <c r="M106" s="55">
        <f>+MIN((SUM(M$103:M$104)*Tablas!M38),Tablas!M$27*0.5*Tablas!M38)</f>
        <v>0</v>
      </c>
      <c r="N106" s="55">
        <f>+MIN((SUM(N$103:N$104)*Tablas!N38),Tablas!N$27*0.5*Tablas!N38)</f>
        <v>0</v>
      </c>
      <c r="O106" s="55">
        <f>+MIN((SUM(O$103:O$104)*Tablas!O38),Tablas!O$27*0.5*Tablas!O38/180*180)</f>
        <v>0</v>
      </c>
      <c r="P106" s="61" t="e">
        <f>+SUM(D106:O106)/SUM($D$103:$O$104)*$P$103</f>
        <v>#DIV/0!</v>
      </c>
      <c r="Q106" s="51"/>
      <c r="R106" s="166"/>
      <c r="T106" s="660"/>
      <c r="U106" s="659"/>
      <c r="V106" s="659"/>
    </row>
    <row r="107" spans="1:22" ht="12.75" customHeight="1" x14ac:dyDescent="0.25">
      <c r="A107" s="196" t="str">
        <f>Tablas!C39</f>
        <v>Obra Social</v>
      </c>
      <c r="B107" s="195"/>
      <c r="C107" s="200"/>
      <c r="D107" s="55">
        <f>+MIN((SUM(D$103:D$104)*Tablas!D39),Tablas!D$27*0.5*Tablas!D39)</f>
        <v>0</v>
      </c>
      <c r="E107" s="55">
        <f>+MIN((SUM(E$103:E$104)*Tablas!E39),Tablas!E$27*0.5*Tablas!E39)</f>
        <v>0</v>
      </c>
      <c r="F107" s="55">
        <f>+MIN((SUM(F$103:F$104)*Tablas!F39),Tablas!F$27*0.5*Tablas!F39)</f>
        <v>0</v>
      </c>
      <c r="G107" s="55">
        <f>+MIN((SUM(G$103:G$104)*Tablas!G39),Tablas!G$27*0.5*Tablas!G39)</f>
        <v>0</v>
      </c>
      <c r="H107" s="55">
        <f>+MIN((SUM(H$103:H$104)*Tablas!H39),Tablas!H$27*0.5*Tablas!H39)</f>
        <v>0</v>
      </c>
      <c r="I107" s="55">
        <f>+MIN((SUM(I$103:I$104)*Tablas!I39),Tablas!I$27*0.5*Tablas!I39/180*180)</f>
        <v>0</v>
      </c>
      <c r="J107" s="55">
        <f>+MIN((SUM(J$103:J$104)*Tablas!J39),Tablas!J$27*0.5*Tablas!J39)</f>
        <v>0</v>
      </c>
      <c r="K107" s="55">
        <f>+MIN((SUM(K$103:K$104)*Tablas!K39),Tablas!K$27*0.5*Tablas!K39)</f>
        <v>0</v>
      </c>
      <c r="L107" s="55">
        <f>+MIN((SUM(L$103:L$104)*Tablas!L39),Tablas!L$27*0.5*Tablas!L39)</f>
        <v>0</v>
      </c>
      <c r="M107" s="55">
        <f>+MIN((SUM(M$103:M$104)*Tablas!M39),Tablas!M$27*0.5*Tablas!M39)</f>
        <v>0</v>
      </c>
      <c r="N107" s="55">
        <f>+MIN((SUM(N$103:N$104)*Tablas!N39),Tablas!N$27*0.5*Tablas!N39)</f>
        <v>0</v>
      </c>
      <c r="O107" s="55">
        <f>+MIN((SUM(O$103:O$104)*Tablas!O39),Tablas!O$27*0.5*Tablas!O39/180*180)</f>
        <v>0</v>
      </c>
      <c r="P107" s="61" t="e">
        <f>+SUM(D107:O107)/SUM($D$103:$O$104)*$P$103</f>
        <v>#DIV/0!</v>
      </c>
      <c r="Q107" s="51"/>
      <c r="R107" s="166"/>
      <c r="T107" s="176"/>
      <c r="U107" s="486"/>
      <c r="V107" s="486"/>
    </row>
    <row r="108" spans="1:22" ht="12.75" customHeight="1" x14ac:dyDescent="0.25">
      <c r="A108" s="196" t="str">
        <f>+A89</f>
        <v>Sindicato</v>
      </c>
      <c r="B108" s="195"/>
      <c r="C108" s="200"/>
      <c r="D108" s="55">
        <f>+SUM(D$103:D$104)*Tablas!D40</f>
        <v>0</v>
      </c>
      <c r="E108" s="55">
        <f>+SUM(E$103:E$104)*Tablas!E40</f>
        <v>0</v>
      </c>
      <c r="F108" s="55">
        <f>+SUM(F$103:F$104)*Tablas!F40</f>
        <v>0</v>
      </c>
      <c r="G108" s="55">
        <f>+SUM(G$103:G$104)*Tablas!G40</f>
        <v>0</v>
      </c>
      <c r="H108" s="55">
        <f>+SUM(H$103:H$104)*Tablas!H40</f>
        <v>0</v>
      </c>
      <c r="I108" s="55">
        <f>+SUM(I$103:I$104)*Tablas!I40</f>
        <v>0</v>
      </c>
      <c r="J108" s="55">
        <f>+SUM(J$103:J$104)*Tablas!J40</f>
        <v>0</v>
      </c>
      <c r="K108" s="55">
        <f>+SUM(K$103:K$104)*Tablas!K40</f>
        <v>0</v>
      </c>
      <c r="L108" s="55">
        <f>+SUM(L$103:L$104)*Tablas!L40</f>
        <v>0</v>
      </c>
      <c r="M108" s="55">
        <f>+SUM(M$103:M$104)*Tablas!M40</f>
        <v>0</v>
      </c>
      <c r="N108" s="55">
        <f>+SUM(N$103:N$104)*Tablas!N40</f>
        <v>0</v>
      </c>
      <c r="O108" s="55">
        <f>+SUM(O$103:O$104)*Tablas!O40</f>
        <v>0</v>
      </c>
      <c r="P108" s="61" t="e">
        <f t="shared" ref="P108:P109" si="19">+SUM(D108:O108)/SUM($D$103:$O$104)*$P$103</f>
        <v>#DIV/0!</v>
      </c>
      <c r="Q108" s="51"/>
      <c r="R108" s="166"/>
      <c r="T108" s="176"/>
      <c r="U108" s="486"/>
      <c r="V108" s="486"/>
    </row>
    <row r="109" spans="1:22" ht="12.75" customHeight="1" x14ac:dyDescent="0.25">
      <c r="A109" s="16" t="str">
        <f>+A90</f>
        <v>Otros descuentos (x Ej: importes fijos)</v>
      </c>
      <c r="B109" s="59"/>
      <c r="C109" s="112"/>
      <c r="D109" s="55">
        <v>0</v>
      </c>
      <c r="E109" s="55">
        <v>0</v>
      </c>
      <c r="F109" s="55">
        <v>0</v>
      </c>
      <c r="G109" s="55">
        <v>0</v>
      </c>
      <c r="H109" s="55">
        <v>0</v>
      </c>
      <c r="I109" s="67">
        <v>0</v>
      </c>
      <c r="J109" s="55">
        <v>0</v>
      </c>
      <c r="K109" s="55">
        <v>0</v>
      </c>
      <c r="L109" s="55">
        <v>0</v>
      </c>
      <c r="M109" s="55">
        <v>0</v>
      </c>
      <c r="N109" s="55">
        <v>0</v>
      </c>
      <c r="O109" s="67">
        <v>0</v>
      </c>
      <c r="P109" s="61" t="e">
        <f t="shared" si="19"/>
        <v>#DIV/0!</v>
      </c>
      <c r="Q109" s="51"/>
      <c r="R109" s="166"/>
      <c r="T109" s="176"/>
      <c r="U109" s="486"/>
      <c r="V109" s="486"/>
    </row>
    <row r="110" spans="1:22" ht="12.75" customHeight="1" x14ac:dyDescent="0.25">
      <c r="A110" s="344" t="s">
        <v>228</v>
      </c>
      <c r="B110" s="202"/>
      <c r="C110" s="203"/>
      <c r="D110" s="10">
        <f t="shared" ref="D110:O110" si="20">+SUM(D103:D104)-SUM(D105:D109)</f>
        <v>0</v>
      </c>
      <c r="E110" s="10">
        <f t="shared" si="20"/>
        <v>0</v>
      </c>
      <c r="F110" s="10">
        <f t="shared" si="20"/>
        <v>0</v>
      </c>
      <c r="G110" s="10">
        <f t="shared" si="20"/>
        <v>0</v>
      </c>
      <c r="H110" s="10">
        <f t="shared" si="20"/>
        <v>0</v>
      </c>
      <c r="I110" s="10">
        <f t="shared" si="20"/>
        <v>0</v>
      </c>
      <c r="J110" s="10">
        <f t="shared" si="20"/>
        <v>0</v>
      </c>
      <c r="K110" s="10">
        <f t="shared" si="20"/>
        <v>0</v>
      </c>
      <c r="L110" s="10">
        <f t="shared" si="20"/>
        <v>0</v>
      </c>
      <c r="M110" s="10">
        <f t="shared" si="20"/>
        <v>0</v>
      </c>
      <c r="N110" s="10">
        <f t="shared" si="20"/>
        <v>0</v>
      </c>
      <c r="O110" s="44">
        <f t="shared" si="20"/>
        <v>0</v>
      </c>
      <c r="P110" s="521" t="e">
        <f>+P103-SUM(P105:P109)</f>
        <v>#DIV/0!</v>
      </c>
      <c r="Q110" s="5"/>
      <c r="R110" s="166"/>
      <c r="T110" s="176"/>
      <c r="U110" s="486"/>
      <c r="V110" s="486"/>
    </row>
    <row r="111" spans="1:22" ht="12.75" customHeight="1" x14ac:dyDescent="0.2">
      <c r="A111" s="196"/>
      <c r="B111" s="195"/>
      <c r="C111" s="200"/>
      <c r="D111" s="15"/>
      <c r="E111" s="15"/>
      <c r="F111" s="15"/>
      <c r="G111" s="15"/>
      <c r="H111" s="15"/>
      <c r="I111" s="66"/>
      <c r="J111" s="15"/>
      <c r="K111" s="15"/>
      <c r="L111" s="15"/>
      <c r="M111" s="15"/>
      <c r="N111" s="15"/>
      <c r="O111" s="66"/>
      <c r="P111" s="7"/>
      <c r="Q111" s="51"/>
      <c r="R111" s="166"/>
      <c r="S111" s="543"/>
      <c r="T111" s="198">
        <f>+I113</f>
        <v>0</v>
      </c>
      <c r="U111" s="486" t="s">
        <v>391</v>
      </c>
      <c r="V111" s="486"/>
    </row>
    <row r="112" spans="1:22" ht="16.2" customHeight="1" x14ac:dyDescent="0.2">
      <c r="A112" s="345" t="s">
        <v>164</v>
      </c>
      <c r="B112" s="204"/>
      <c r="C112" s="204"/>
      <c r="D112" s="204"/>
      <c r="E112" s="204"/>
      <c r="F112" s="204"/>
      <c r="G112" s="204"/>
      <c r="H112" s="204"/>
      <c r="I112" s="204"/>
      <c r="J112" s="204"/>
      <c r="K112" s="204"/>
      <c r="L112" s="204"/>
      <c r="M112" s="204"/>
      <c r="N112" s="204"/>
      <c r="O112" s="205"/>
      <c r="P112" s="7"/>
      <c r="Q112" s="51"/>
      <c r="R112" s="166"/>
      <c r="T112" s="661"/>
      <c r="U112" s="659"/>
      <c r="V112" s="659"/>
    </row>
    <row r="113" spans="1:22" ht="12.75" customHeight="1" x14ac:dyDescent="0.2">
      <c r="A113" s="306" t="s">
        <v>166</v>
      </c>
      <c r="B113" s="62"/>
      <c r="C113" s="206"/>
      <c r="D113" s="55">
        <v>0</v>
      </c>
      <c r="E113" s="55">
        <v>0</v>
      </c>
      <c r="F113" s="55">
        <v>0</v>
      </c>
      <c r="G113" s="55">
        <v>0</v>
      </c>
      <c r="H113" s="55">
        <v>0</v>
      </c>
      <c r="I113" s="67">
        <v>0</v>
      </c>
      <c r="J113" s="55">
        <v>0</v>
      </c>
      <c r="K113" s="55">
        <v>0</v>
      </c>
      <c r="L113" s="55">
        <v>0</v>
      </c>
      <c r="M113" s="55">
        <v>0</v>
      </c>
      <c r="N113" s="55">
        <v>0</v>
      </c>
      <c r="O113" s="67">
        <v>0</v>
      </c>
      <c r="P113" s="448">
        <f>+T111+T113</f>
        <v>0</v>
      </c>
      <c r="Q113" s="449">
        <f>+SUM(D113:O113)-P113</f>
        <v>0</v>
      </c>
      <c r="R113" s="531" t="s">
        <v>318</v>
      </c>
      <c r="T113" s="198">
        <f>+O113</f>
        <v>0</v>
      </c>
      <c r="U113" s="662" t="s">
        <v>392</v>
      </c>
      <c r="V113" s="662"/>
    </row>
    <row r="114" spans="1:22" s="211" customFormat="1" ht="11.4" customHeight="1" x14ac:dyDescent="0.2">
      <c r="A114" s="207"/>
      <c r="B114" s="208"/>
      <c r="C114" s="209"/>
      <c r="D114" s="126"/>
      <c r="E114" s="126"/>
      <c r="F114" s="126"/>
      <c r="G114" s="126"/>
      <c r="H114" s="126"/>
      <c r="I114" s="127"/>
      <c r="J114" s="126"/>
      <c r="K114" s="126"/>
      <c r="L114" s="126"/>
      <c r="M114" s="126"/>
      <c r="N114" s="126"/>
      <c r="O114" s="127"/>
      <c r="P114" s="450"/>
      <c r="Q114" s="451"/>
      <c r="R114" s="210"/>
      <c r="T114" s="661"/>
      <c r="U114" s="659"/>
      <c r="V114" s="659"/>
    </row>
    <row r="115" spans="1:22" ht="6" customHeight="1" x14ac:dyDescent="0.25">
      <c r="A115" s="212"/>
      <c r="B115" s="213"/>
      <c r="C115" s="214"/>
      <c r="D115" s="128"/>
      <c r="E115" s="128"/>
      <c r="F115" s="128"/>
      <c r="G115" s="128"/>
      <c r="H115" s="128"/>
      <c r="I115" s="129"/>
      <c r="J115" s="128"/>
      <c r="K115" s="128"/>
      <c r="L115" s="128"/>
      <c r="M115" s="128"/>
      <c r="N115" s="128"/>
      <c r="O115" s="129"/>
      <c r="P115" s="452"/>
      <c r="Q115" s="453"/>
      <c r="R115" s="166"/>
      <c r="U115" s="662"/>
      <c r="V115" s="486"/>
    </row>
    <row r="116" spans="1:22" ht="13.8" customHeight="1" x14ac:dyDescent="0.25">
      <c r="A116" s="614" t="s">
        <v>421</v>
      </c>
      <c r="B116" s="195"/>
      <c r="C116" s="200"/>
      <c r="D116" s="42">
        <f>+D302</f>
        <v>0</v>
      </c>
      <c r="E116" s="42">
        <f t="shared" ref="E116:O116" si="21">+E302</f>
        <v>0</v>
      </c>
      <c r="F116" s="42">
        <f t="shared" si="21"/>
        <v>0</v>
      </c>
      <c r="G116" s="42">
        <f t="shared" si="21"/>
        <v>0</v>
      </c>
      <c r="H116" s="42">
        <f t="shared" si="21"/>
        <v>0</v>
      </c>
      <c r="I116" s="42">
        <f t="shared" si="21"/>
        <v>0</v>
      </c>
      <c r="J116" s="42">
        <f t="shared" si="21"/>
        <v>0</v>
      </c>
      <c r="K116" s="42">
        <f t="shared" si="21"/>
        <v>0</v>
      </c>
      <c r="L116" s="42">
        <f t="shared" si="21"/>
        <v>0</v>
      </c>
      <c r="M116" s="42">
        <f t="shared" si="21"/>
        <v>0</v>
      </c>
      <c r="N116" s="42">
        <f t="shared" si="21"/>
        <v>0</v>
      </c>
      <c r="O116" s="42">
        <f t="shared" si="21"/>
        <v>0</v>
      </c>
      <c r="P116" s="7"/>
      <c r="Q116" s="51"/>
      <c r="R116" s="166"/>
      <c r="U116" s="662"/>
      <c r="V116" s="486"/>
    </row>
    <row r="117" spans="1:22" ht="6.6" customHeight="1" thickBot="1" x14ac:dyDescent="0.3">
      <c r="A117" s="215"/>
      <c r="B117" s="216"/>
      <c r="C117" s="216"/>
      <c r="D117" s="217"/>
      <c r="E117" s="217"/>
      <c r="F117" s="217"/>
      <c r="G117" s="217"/>
      <c r="H117" s="217"/>
      <c r="I117" s="217"/>
      <c r="J117" s="217"/>
      <c r="K117" s="218"/>
      <c r="L117" s="217"/>
      <c r="M117" s="217"/>
      <c r="N117" s="217"/>
      <c r="O117" s="217"/>
      <c r="P117" s="73"/>
      <c r="Q117" s="74"/>
      <c r="U117" s="662"/>
      <c r="V117" s="486"/>
    </row>
    <row r="118" spans="1:22" ht="22.8" customHeight="1" thickBot="1" x14ac:dyDescent="0.3">
      <c r="A118" s="346" t="s">
        <v>227</v>
      </c>
      <c r="B118" s="347"/>
      <c r="C118" s="348"/>
      <c r="D118" s="349">
        <f t="shared" ref="D118:O118" si="22">+D38-D91+D110-D302</f>
        <v>0</v>
      </c>
      <c r="E118" s="349">
        <f t="shared" si="22"/>
        <v>0</v>
      </c>
      <c r="F118" s="349">
        <f t="shared" si="22"/>
        <v>0</v>
      </c>
      <c r="G118" s="349">
        <f t="shared" si="22"/>
        <v>0</v>
      </c>
      <c r="H118" s="349">
        <f t="shared" si="22"/>
        <v>0</v>
      </c>
      <c r="I118" s="349">
        <f t="shared" si="22"/>
        <v>0</v>
      </c>
      <c r="J118" s="349">
        <f t="shared" si="22"/>
        <v>0</v>
      </c>
      <c r="K118" s="349">
        <f t="shared" si="22"/>
        <v>0</v>
      </c>
      <c r="L118" s="349">
        <f t="shared" si="22"/>
        <v>0</v>
      </c>
      <c r="M118" s="349">
        <f t="shared" si="22"/>
        <v>0</v>
      </c>
      <c r="N118" s="349">
        <f t="shared" si="22"/>
        <v>0</v>
      </c>
      <c r="O118" s="349">
        <f t="shared" si="22"/>
        <v>0</v>
      </c>
      <c r="P118" s="454">
        <f>SUM(D118:O118)</f>
        <v>0</v>
      </c>
      <c r="Q118" s="455"/>
      <c r="U118" s="486"/>
      <c r="V118" s="486"/>
    </row>
    <row r="119" spans="1:22" ht="16.2" customHeight="1" thickBot="1" x14ac:dyDescent="0.3">
      <c r="A119" s="215"/>
      <c r="B119" s="216"/>
      <c r="C119" s="216"/>
      <c r="D119" s="217"/>
      <c r="E119" s="217"/>
      <c r="F119" s="217"/>
      <c r="G119" s="217"/>
      <c r="H119" s="217"/>
      <c r="I119" s="217"/>
      <c r="J119" s="217"/>
      <c r="K119" s="217"/>
      <c r="L119" s="217"/>
      <c r="M119" s="217"/>
      <c r="N119" s="217"/>
      <c r="O119" s="217"/>
      <c r="P119" s="73"/>
      <c r="Q119" s="74"/>
      <c r="U119" s="486"/>
      <c r="V119" s="486"/>
    </row>
    <row r="120" spans="1:22" ht="34.799999999999997" customHeight="1" thickBot="1" x14ac:dyDescent="0.3">
      <c r="A120" s="350" t="s">
        <v>64</v>
      </c>
      <c r="B120" s="351"/>
      <c r="C120" s="351"/>
      <c r="D120" s="352"/>
      <c r="E120" s="352"/>
      <c r="F120" s="352"/>
      <c r="G120" s="352"/>
      <c r="H120" s="352"/>
      <c r="I120" s="352"/>
      <c r="J120" s="352"/>
      <c r="K120" s="352"/>
      <c r="L120" s="352"/>
      <c r="M120" s="352"/>
      <c r="N120" s="352"/>
      <c r="O120" s="352"/>
      <c r="P120" s="353" t="str">
        <f>+P4</f>
        <v>GRAVADO</v>
      </c>
      <c r="Q120" s="354" t="str">
        <f>+Q4</f>
        <v>EXENTO / NO ALCANZADO</v>
      </c>
      <c r="U120" s="486"/>
      <c r="V120" s="486"/>
    </row>
    <row r="121" spans="1:22" ht="15" customHeight="1" x14ac:dyDescent="0.25">
      <c r="A121" s="219"/>
      <c r="B121" s="220"/>
      <c r="C121" s="220"/>
      <c r="D121" s="221"/>
      <c r="E121" s="221"/>
      <c r="F121" s="221"/>
      <c r="G121" s="221"/>
      <c r="H121" s="221"/>
      <c r="I121" s="221"/>
      <c r="J121" s="221"/>
      <c r="K121" s="221"/>
      <c r="L121" s="221"/>
      <c r="M121" s="221"/>
      <c r="N121" s="221"/>
      <c r="O121" s="221"/>
      <c r="P121" s="359"/>
      <c r="Q121" s="359"/>
      <c r="U121" s="486"/>
      <c r="V121" s="486"/>
    </row>
    <row r="122" spans="1:22" ht="23.4" customHeight="1" x14ac:dyDescent="0.25">
      <c r="A122" s="163" t="s">
        <v>129</v>
      </c>
      <c r="B122" s="164"/>
      <c r="C122" s="164"/>
      <c r="D122" s="164"/>
      <c r="E122" s="164"/>
      <c r="F122" s="164"/>
      <c r="G122" s="164"/>
      <c r="H122" s="164"/>
      <c r="I122" s="164"/>
      <c r="J122" s="164"/>
      <c r="K122" s="164"/>
      <c r="L122" s="164"/>
      <c r="M122" s="164"/>
      <c r="N122" s="164"/>
      <c r="O122" s="164"/>
      <c r="P122" s="303"/>
      <c r="Q122" s="303"/>
      <c r="R122" s="166"/>
      <c r="U122" s="486"/>
      <c r="V122" s="486"/>
    </row>
    <row r="123" spans="1:22" ht="15.6" customHeight="1" x14ac:dyDescent="0.25">
      <c r="A123" s="304" t="s">
        <v>130</v>
      </c>
      <c r="B123" s="355"/>
      <c r="C123" s="355"/>
      <c r="D123" s="53"/>
      <c r="E123" s="53"/>
      <c r="F123" s="53"/>
      <c r="G123" s="53"/>
      <c r="H123" s="53"/>
      <c r="I123" s="53"/>
      <c r="J123" s="53"/>
      <c r="K123" s="53"/>
      <c r="L123" s="53"/>
      <c r="M123" s="53"/>
      <c r="N123" s="53"/>
      <c r="O123" s="53"/>
      <c r="P123" s="54"/>
      <c r="Q123" s="54"/>
      <c r="R123" s="166"/>
      <c r="U123" s="486"/>
      <c r="V123" s="486"/>
    </row>
    <row r="124" spans="1:22" ht="12.75" customHeight="1" x14ac:dyDescent="0.25">
      <c r="A124" s="306" t="s">
        <v>131</v>
      </c>
      <c r="B124" s="310" t="str">
        <f t="shared" ref="B124:O124" si="23">+B7</f>
        <v>H</v>
      </c>
      <c r="C124" s="311" t="str">
        <f t="shared" si="23"/>
        <v>R</v>
      </c>
      <c r="D124" s="97">
        <f t="shared" si="23"/>
        <v>0</v>
      </c>
      <c r="E124" s="97">
        <f t="shared" si="23"/>
        <v>0</v>
      </c>
      <c r="F124" s="97">
        <f t="shared" si="23"/>
        <v>0</v>
      </c>
      <c r="G124" s="97">
        <f t="shared" si="23"/>
        <v>0</v>
      </c>
      <c r="H124" s="97">
        <f t="shared" si="23"/>
        <v>0</v>
      </c>
      <c r="I124" s="97">
        <f t="shared" si="23"/>
        <v>0</v>
      </c>
      <c r="J124" s="97">
        <f t="shared" si="23"/>
        <v>0</v>
      </c>
      <c r="K124" s="97">
        <f t="shared" si="23"/>
        <v>0</v>
      </c>
      <c r="L124" s="97">
        <f t="shared" si="23"/>
        <v>0</v>
      </c>
      <c r="M124" s="97">
        <f t="shared" si="23"/>
        <v>0</v>
      </c>
      <c r="N124" s="97">
        <f t="shared" si="23"/>
        <v>0</v>
      </c>
      <c r="O124" s="97">
        <f t="shared" si="23"/>
        <v>0</v>
      </c>
      <c r="P124" s="70">
        <f t="shared" ref="P124:P131" si="24">SUM(D124:O124)</f>
        <v>0</v>
      </c>
      <c r="Q124" s="77"/>
      <c r="R124" s="166"/>
      <c r="T124" s="222">
        <f>+P124</f>
        <v>0</v>
      </c>
      <c r="U124" s="486" t="s">
        <v>131</v>
      </c>
      <c r="V124" s="486"/>
    </row>
    <row r="125" spans="1:22" ht="12.75" customHeight="1" x14ac:dyDescent="0.25">
      <c r="A125" s="306" t="s">
        <v>202</v>
      </c>
      <c r="B125" s="310" t="str">
        <f t="shared" ref="B125:O125" si="25">+B8</f>
        <v>H</v>
      </c>
      <c r="C125" s="311" t="str">
        <f t="shared" si="25"/>
        <v>NR</v>
      </c>
      <c r="D125" s="97">
        <f t="shared" si="25"/>
        <v>0</v>
      </c>
      <c r="E125" s="97">
        <f t="shared" si="25"/>
        <v>0</v>
      </c>
      <c r="F125" s="97">
        <f t="shared" si="25"/>
        <v>0</v>
      </c>
      <c r="G125" s="97">
        <f t="shared" si="25"/>
        <v>0</v>
      </c>
      <c r="H125" s="97">
        <f t="shared" si="25"/>
        <v>0</v>
      </c>
      <c r="I125" s="97">
        <f t="shared" si="25"/>
        <v>0</v>
      </c>
      <c r="J125" s="97">
        <f t="shared" si="25"/>
        <v>0</v>
      </c>
      <c r="K125" s="97">
        <f t="shared" si="25"/>
        <v>0</v>
      </c>
      <c r="L125" s="97">
        <f t="shared" si="25"/>
        <v>0</v>
      </c>
      <c r="M125" s="97">
        <f t="shared" si="25"/>
        <v>0</v>
      </c>
      <c r="N125" s="97">
        <f t="shared" si="25"/>
        <v>0</v>
      </c>
      <c r="O125" s="97">
        <f t="shared" si="25"/>
        <v>0</v>
      </c>
      <c r="P125" s="70">
        <f t="shared" si="24"/>
        <v>0</v>
      </c>
      <c r="Q125" s="77"/>
      <c r="R125" s="166"/>
      <c r="T125" s="222">
        <f t="shared" ref="T125:T135" si="26">+P125</f>
        <v>0</v>
      </c>
      <c r="U125" s="486" t="s">
        <v>131</v>
      </c>
      <c r="V125" s="486"/>
    </row>
    <row r="126" spans="1:22" ht="12.75" customHeight="1" x14ac:dyDescent="0.25">
      <c r="A126" s="306" t="s">
        <v>197</v>
      </c>
      <c r="B126" s="310" t="str">
        <f t="shared" ref="B126:C135" si="27">+B9</f>
        <v>NH</v>
      </c>
      <c r="C126" s="311" t="str">
        <f t="shared" si="27"/>
        <v>R</v>
      </c>
      <c r="D126" s="97">
        <f>+IF(D$3="SI",P334,IF(D$38=0,0,D9/12))</f>
        <v>0</v>
      </c>
      <c r="E126" s="97">
        <f>+IF(E$38=0,0,E335-SUM($D126:D126))</f>
        <v>0</v>
      </c>
      <c r="F126" s="97">
        <f>+IF(F$38=0,0,F335-SUM($D126:E126))</f>
        <v>0</v>
      </c>
      <c r="G126" s="97">
        <f>+IF(G$38=0,0,G335-SUM($D126:F126))</f>
        <v>0</v>
      </c>
      <c r="H126" s="97">
        <f>+IF(H$38=0,0,H335-SUM($D126:G126))</f>
        <v>0</v>
      </c>
      <c r="I126" s="97">
        <f>+IF(I$38=0,0,I335-SUM($D126:H126))</f>
        <v>0</v>
      </c>
      <c r="J126" s="97">
        <f>+IF(J$38=0,0,J335-SUM($D126:I126))</f>
        <v>0</v>
      </c>
      <c r="K126" s="97">
        <f>+IF(K$38=0,0,K335-SUM($D126:J126))</f>
        <v>0</v>
      </c>
      <c r="L126" s="97">
        <f>+IF(L$38=0,0,L335-SUM($D126:K126))</f>
        <v>0</v>
      </c>
      <c r="M126" s="97">
        <f>+IF(M$38=0,0,M335-SUM($D126:L126))</f>
        <v>0</v>
      </c>
      <c r="N126" s="97">
        <f>+IF(N$38=0,0,N335-SUM($D126:M126))</f>
        <v>0</v>
      </c>
      <c r="O126" s="97">
        <f>+IF(O$38=0,0,O335-SUM($D126:N126))</f>
        <v>0</v>
      </c>
      <c r="P126" s="70">
        <f>+P334</f>
        <v>0</v>
      </c>
      <c r="Q126" s="77"/>
      <c r="R126" s="166"/>
      <c r="T126" s="222">
        <f t="shared" si="26"/>
        <v>0</v>
      </c>
      <c r="U126" s="486" t="s">
        <v>132</v>
      </c>
      <c r="V126" s="486"/>
    </row>
    <row r="127" spans="1:22" ht="12.75" customHeight="1" x14ac:dyDescent="0.25">
      <c r="A127" s="306" t="s">
        <v>203</v>
      </c>
      <c r="B127" s="310" t="str">
        <f t="shared" si="27"/>
        <v>NH</v>
      </c>
      <c r="C127" s="311" t="str">
        <f t="shared" si="27"/>
        <v>NR</v>
      </c>
      <c r="D127" s="97">
        <f>+IF(D$3="SI",P336,IF(D$38=0,0,D10/12))</f>
        <v>0</v>
      </c>
      <c r="E127" s="97">
        <f>+IF(E$38=0,0,E337-SUM($D127:D127))</f>
        <v>0</v>
      </c>
      <c r="F127" s="97">
        <f>+IF(F$38=0,0,F337-SUM($D127:E127))</f>
        <v>0</v>
      </c>
      <c r="G127" s="97">
        <f>+IF(G$38=0,0,G337-SUM($D127:F127))</f>
        <v>0</v>
      </c>
      <c r="H127" s="97">
        <f>+IF(H$38=0,0,H337-SUM($D127:G127))</f>
        <v>0</v>
      </c>
      <c r="I127" s="97">
        <f>+IF(I$38=0,0,I337-SUM($D127:H127))</f>
        <v>0</v>
      </c>
      <c r="J127" s="97">
        <f>+IF(J$38=0,0,J337-SUM($D127:I127))</f>
        <v>0</v>
      </c>
      <c r="K127" s="97">
        <f>+IF(K$38=0,0,K337-SUM($D127:J127))</f>
        <v>0</v>
      </c>
      <c r="L127" s="97">
        <f>+IF(L$38=0,0,L337-SUM($D127:K127))</f>
        <v>0</v>
      </c>
      <c r="M127" s="97">
        <f>+IF(M$38=0,0,M337-SUM($D127:L127))</f>
        <v>0</v>
      </c>
      <c r="N127" s="97">
        <f>+IF(N$38=0,0,N337-SUM($D127:M127))</f>
        <v>0</v>
      </c>
      <c r="O127" s="97">
        <f>+IF(O$38=0,0,O337-SUM($D127:N127))</f>
        <v>0</v>
      </c>
      <c r="P127" s="70">
        <f>+P336</f>
        <v>0</v>
      </c>
      <c r="Q127" s="77"/>
      <c r="R127" s="166"/>
      <c r="T127" s="222">
        <f t="shared" si="26"/>
        <v>0</v>
      </c>
      <c r="U127" s="486" t="s">
        <v>132</v>
      </c>
      <c r="V127" s="486"/>
    </row>
    <row r="128" spans="1:22" ht="12.75" customHeight="1" x14ac:dyDescent="0.25">
      <c r="A128" s="306" t="s">
        <v>351</v>
      </c>
      <c r="B128" s="310" t="str">
        <f t="shared" si="27"/>
        <v>H</v>
      </c>
      <c r="C128" s="311" t="str">
        <f t="shared" si="27"/>
        <v>R</v>
      </c>
      <c r="D128" s="97">
        <f t="shared" ref="D128:O128" si="28">+D11</f>
        <v>0</v>
      </c>
      <c r="E128" s="97">
        <f t="shared" si="28"/>
        <v>0</v>
      </c>
      <c r="F128" s="97">
        <f t="shared" si="28"/>
        <v>0</v>
      </c>
      <c r="G128" s="97">
        <f t="shared" si="28"/>
        <v>0</v>
      </c>
      <c r="H128" s="97">
        <f t="shared" si="28"/>
        <v>0</v>
      </c>
      <c r="I128" s="97">
        <f t="shared" si="28"/>
        <v>0</v>
      </c>
      <c r="J128" s="97">
        <f t="shared" si="28"/>
        <v>0</v>
      </c>
      <c r="K128" s="97">
        <f t="shared" si="28"/>
        <v>0</v>
      </c>
      <c r="L128" s="97">
        <f t="shared" si="28"/>
        <v>0</v>
      </c>
      <c r="M128" s="97">
        <f t="shared" si="28"/>
        <v>0</v>
      </c>
      <c r="N128" s="97">
        <f t="shared" si="28"/>
        <v>0</v>
      </c>
      <c r="O128" s="97">
        <f t="shared" si="28"/>
        <v>0</v>
      </c>
      <c r="P128" s="70">
        <f t="shared" si="24"/>
        <v>0</v>
      </c>
      <c r="Q128" s="77"/>
      <c r="R128" s="166"/>
      <c r="T128" s="222">
        <f t="shared" si="26"/>
        <v>0</v>
      </c>
      <c r="U128" s="486" t="s">
        <v>133</v>
      </c>
      <c r="V128" s="486"/>
    </row>
    <row r="129" spans="1:22" ht="12.75" customHeight="1" x14ac:dyDescent="0.25">
      <c r="A129" s="306" t="s">
        <v>352</v>
      </c>
      <c r="B129" s="310" t="str">
        <f t="shared" si="27"/>
        <v>H</v>
      </c>
      <c r="C129" s="311" t="str">
        <f t="shared" si="27"/>
        <v>R</v>
      </c>
      <c r="D129" s="97">
        <f t="shared" ref="D129:O129" si="29">+D12</f>
        <v>0</v>
      </c>
      <c r="E129" s="97">
        <f t="shared" si="29"/>
        <v>0</v>
      </c>
      <c r="F129" s="97">
        <f t="shared" si="29"/>
        <v>0</v>
      </c>
      <c r="G129" s="97">
        <f t="shared" si="29"/>
        <v>0</v>
      </c>
      <c r="H129" s="97">
        <f t="shared" si="29"/>
        <v>0</v>
      </c>
      <c r="I129" s="97">
        <f t="shared" si="29"/>
        <v>0</v>
      </c>
      <c r="J129" s="97">
        <f t="shared" si="29"/>
        <v>0</v>
      </c>
      <c r="K129" s="97">
        <f t="shared" si="29"/>
        <v>0</v>
      </c>
      <c r="L129" s="97">
        <f t="shared" si="29"/>
        <v>0</v>
      </c>
      <c r="M129" s="97">
        <f t="shared" si="29"/>
        <v>0</v>
      </c>
      <c r="N129" s="97">
        <f t="shared" si="29"/>
        <v>0</v>
      </c>
      <c r="O129" s="97">
        <f t="shared" si="29"/>
        <v>0</v>
      </c>
      <c r="P129" s="70">
        <f t="shared" si="24"/>
        <v>0</v>
      </c>
      <c r="Q129" s="77"/>
      <c r="R129" s="166"/>
      <c r="T129" s="222">
        <f t="shared" si="26"/>
        <v>0</v>
      </c>
      <c r="U129" s="486" t="s">
        <v>134</v>
      </c>
      <c r="V129" s="486"/>
    </row>
    <row r="130" spans="1:22" ht="12.75" customHeight="1" x14ac:dyDescent="0.25">
      <c r="A130" s="306" t="s">
        <v>353</v>
      </c>
      <c r="B130" s="310" t="str">
        <f t="shared" si="27"/>
        <v>H</v>
      </c>
      <c r="C130" s="311" t="str">
        <f t="shared" si="27"/>
        <v>R</v>
      </c>
      <c r="D130" s="97">
        <f t="shared" ref="D130:O130" si="30">+D13</f>
        <v>0</v>
      </c>
      <c r="E130" s="97">
        <f t="shared" si="30"/>
        <v>0</v>
      </c>
      <c r="F130" s="97">
        <f t="shared" si="30"/>
        <v>0</v>
      </c>
      <c r="G130" s="97">
        <f t="shared" si="30"/>
        <v>0</v>
      </c>
      <c r="H130" s="97">
        <f t="shared" si="30"/>
        <v>0</v>
      </c>
      <c r="I130" s="97">
        <f t="shared" si="30"/>
        <v>0</v>
      </c>
      <c r="J130" s="97">
        <f t="shared" si="30"/>
        <v>0</v>
      </c>
      <c r="K130" s="97">
        <f t="shared" si="30"/>
        <v>0</v>
      </c>
      <c r="L130" s="97">
        <f t="shared" si="30"/>
        <v>0</v>
      </c>
      <c r="M130" s="97">
        <f t="shared" si="30"/>
        <v>0</v>
      </c>
      <c r="N130" s="97">
        <f t="shared" si="30"/>
        <v>0</v>
      </c>
      <c r="O130" s="97">
        <f t="shared" si="30"/>
        <v>0</v>
      </c>
      <c r="P130" s="70">
        <f t="shared" si="24"/>
        <v>0</v>
      </c>
      <c r="Q130" s="77"/>
      <c r="R130" s="166"/>
      <c r="T130" s="222">
        <f t="shared" si="26"/>
        <v>0</v>
      </c>
      <c r="U130" s="486" t="s">
        <v>134</v>
      </c>
      <c r="V130" s="486"/>
    </row>
    <row r="131" spans="1:22" ht="12.75" customHeight="1" x14ac:dyDescent="0.25">
      <c r="A131" s="306" t="s">
        <v>354</v>
      </c>
      <c r="B131" s="310" t="str">
        <f t="shared" si="27"/>
        <v>H</v>
      </c>
      <c r="C131" s="311" t="str">
        <f t="shared" si="27"/>
        <v>R</v>
      </c>
      <c r="D131" s="97">
        <f t="shared" ref="D131:O131" si="31">+D14</f>
        <v>0</v>
      </c>
      <c r="E131" s="97">
        <f t="shared" si="31"/>
        <v>0</v>
      </c>
      <c r="F131" s="97">
        <f t="shared" si="31"/>
        <v>0</v>
      </c>
      <c r="G131" s="97">
        <f t="shared" si="31"/>
        <v>0</v>
      </c>
      <c r="H131" s="97">
        <f t="shared" si="31"/>
        <v>0</v>
      </c>
      <c r="I131" s="97">
        <f t="shared" si="31"/>
        <v>0</v>
      </c>
      <c r="J131" s="97">
        <f t="shared" si="31"/>
        <v>0</v>
      </c>
      <c r="K131" s="97">
        <f t="shared" si="31"/>
        <v>0</v>
      </c>
      <c r="L131" s="97">
        <f t="shared" si="31"/>
        <v>0</v>
      </c>
      <c r="M131" s="97">
        <f t="shared" si="31"/>
        <v>0</v>
      </c>
      <c r="N131" s="97">
        <f t="shared" si="31"/>
        <v>0</v>
      </c>
      <c r="O131" s="97">
        <f t="shared" si="31"/>
        <v>0</v>
      </c>
      <c r="P131" s="70">
        <f t="shared" si="24"/>
        <v>0</v>
      </c>
      <c r="Q131" s="77"/>
      <c r="R131" s="166"/>
      <c r="T131" s="222">
        <f t="shared" si="26"/>
        <v>0</v>
      </c>
      <c r="U131" s="486" t="s">
        <v>134</v>
      </c>
      <c r="V131" s="486"/>
    </row>
    <row r="132" spans="1:22" ht="12.75" customHeight="1" x14ac:dyDescent="0.25">
      <c r="A132" s="306" t="s">
        <v>355</v>
      </c>
      <c r="B132" s="310" t="str">
        <f t="shared" si="27"/>
        <v>H</v>
      </c>
      <c r="C132" s="311" t="str">
        <f t="shared" si="27"/>
        <v>R</v>
      </c>
      <c r="D132" s="97">
        <f>+D15</f>
        <v>0</v>
      </c>
      <c r="E132" s="97">
        <f t="shared" ref="E132:O132" si="32">+E15</f>
        <v>0</v>
      </c>
      <c r="F132" s="97">
        <f t="shared" si="32"/>
        <v>0</v>
      </c>
      <c r="G132" s="97">
        <f t="shared" si="32"/>
        <v>0</v>
      </c>
      <c r="H132" s="97">
        <f t="shared" si="32"/>
        <v>0</v>
      </c>
      <c r="I132" s="97">
        <f t="shared" si="32"/>
        <v>0</v>
      </c>
      <c r="J132" s="97">
        <f t="shared" si="32"/>
        <v>0</v>
      </c>
      <c r="K132" s="97">
        <f t="shared" si="32"/>
        <v>0</v>
      </c>
      <c r="L132" s="97">
        <f t="shared" si="32"/>
        <v>0</v>
      </c>
      <c r="M132" s="97">
        <f t="shared" si="32"/>
        <v>0</v>
      </c>
      <c r="N132" s="97">
        <f t="shared" si="32"/>
        <v>0</v>
      </c>
      <c r="O132" s="97">
        <f t="shared" si="32"/>
        <v>0</v>
      </c>
      <c r="P132" s="70">
        <f>SUM(D132:O132)</f>
        <v>0</v>
      </c>
      <c r="Q132" s="77"/>
      <c r="R132" s="166"/>
      <c r="T132" s="222">
        <f t="shared" si="26"/>
        <v>0</v>
      </c>
      <c r="U132" s="486" t="s">
        <v>135</v>
      </c>
      <c r="V132" s="486"/>
    </row>
    <row r="133" spans="1:22" ht="12.75" customHeight="1" x14ac:dyDescent="0.25">
      <c r="A133" s="306" t="s">
        <v>362</v>
      </c>
      <c r="B133" s="310" t="str">
        <f t="shared" si="27"/>
        <v>NH</v>
      </c>
      <c r="C133" s="311" t="str">
        <f t="shared" si="27"/>
        <v>R</v>
      </c>
      <c r="D133" s="97">
        <f>+IF($B133="H",D16,IF(D$38=0,0,D16/12))</f>
        <v>0</v>
      </c>
      <c r="E133" s="97">
        <f>+IF($B133="H",E16,IF(E$38=0,0,E339-SUM($D133:D133)))</f>
        <v>0</v>
      </c>
      <c r="F133" s="97">
        <f>+IF($B133="H",F16,IF(F$38=0,0,F339-SUM($D133:E133)))</f>
        <v>0</v>
      </c>
      <c r="G133" s="97">
        <f>+IF($B133="H",G16,IF(G$38=0,0,G339-SUM($D133:F133)))</f>
        <v>0</v>
      </c>
      <c r="H133" s="97">
        <f>+IF($B133="H",H16,IF(H$38=0,0,H339-SUM($D133:G133)))</f>
        <v>0</v>
      </c>
      <c r="I133" s="97">
        <f>+IF($B133="H",I16,IF(I$38=0,0,I339-SUM($D133:H133)))</f>
        <v>0</v>
      </c>
      <c r="J133" s="97">
        <f>+IF($B133="H",J16,IF(J$38=0,0,J339-SUM($D133:I133)))</f>
        <v>0</v>
      </c>
      <c r="K133" s="97">
        <f>+IF($B133="H",K16,IF(K$38=0,0,K339-SUM($D133:J133)))</f>
        <v>0</v>
      </c>
      <c r="L133" s="97">
        <f>+IF($B133="H",L16,IF(L$38=0,0,L339-SUM($D133:K133)))</f>
        <v>0</v>
      </c>
      <c r="M133" s="97">
        <f>+IF($B133="H",M16,IF(M$38=0,0,M339-SUM($D133:L133)))</f>
        <v>0</v>
      </c>
      <c r="N133" s="97">
        <f>+IF($B133="H",N16,IF(N$38=0,0,N339-SUM($D133:M133)))</f>
        <v>0</v>
      </c>
      <c r="O133" s="97">
        <f>+IF($B133="H",O16,IF(O$38=0,0,O339-SUM($D133:N133)))</f>
        <v>0</v>
      </c>
      <c r="P133" s="70">
        <f t="shared" ref="P133:P135" si="33">SUM(D133:O133)</f>
        <v>0</v>
      </c>
      <c r="Q133" s="77"/>
      <c r="R133" s="166"/>
      <c r="T133" s="222">
        <f t="shared" si="26"/>
        <v>0</v>
      </c>
      <c r="U133" s="486" t="s">
        <v>136</v>
      </c>
      <c r="V133" s="486"/>
    </row>
    <row r="134" spans="1:22" ht="12.75" customHeight="1" x14ac:dyDescent="0.25">
      <c r="A134" s="306" t="s">
        <v>357</v>
      </c>
      <c r="B134" s="310" t="str">
        <f t="shared" si="27"/>
        <v>H</v>
      </c>
      <c r="C134" s="311" t="str">
        <f t="shared" si="27"/>
        <v>R</v>
      </c>
      <c r="D134" s="97">
        <f>+IF($B134="H",D17,IF(D$38=0,0,D17/12))</f>
        <v>0</v>
      </c>
      <c r="E134" s="97">
        <f>+IF($B134="H",E17,IF(E$38=0,0,E341-SUM($D134:D134)))</f>
        <v>0</v>
      </c>
      <c r="F134" s="97">
        <f>+IF($B134="H",F17,IF(F$38=0,0,F341-SUM($D134:E134)))</f>
        <v>0</v>
      </c>
      <c r="G134" s="97">
        <f>+IF($B134="H",G17,IF(G$38=0,0,G341-SUM($D134:F134)))</f>
        <v>0</v>
      </c>
      <c r="H134" s="97">
        <f>+IF($B134="H",H17,IF(H$38=0,0,H341-SUM($D134:G134)))</f>
        <v>0</v>
      </c>
      <c r="I134" s="97">
        <f>+IF($B134="H",I17,IF(I$38=0,0,I341-SUM($D134:H134)))</f>
        <v>0</v>
      </c>
      <c r="J134" s="97">
        <f>+IF($B134="H",J17,IF(J$38=0,0,J341-SUM($D134:I134)))</f>
        <v>0</v>
      </c>
      <c r="K134" s="97">
        <f>+IF($B134="H",K17,IF(K$38=0,0,K341-SUM($D134:J134)))</f>
        <v>0</v>
      </c>
      <c r="L134" s="97">
        <f>+IF($B134="H",L17,IF(L$38=0,0,L341-SUM($D134:K134)))</f>
        <v>0</v>
      </c>
      <c r="M134" s="97">
        <f>+IF($B134="H",M17,IF(M$38=0,0,M341-SUM($D134:L134)))</f>
        <v>0</v>
      </c>
      <c r="N134" s="97">
        <f>+IF($B134="H",N17,IF(N$38=0,0,N341-SUM($D134:M134)))</f>
        <v>0</v>
      </c>
      <c r="O134" s="97">
        <f>+IF($B134="H",O17,IF(O$38=0,0,O341-SUM($D134:N134)))</f>
        <v>0</v>
      </c>
      <c r="P134" s="70">
        <f t="shared" si="33"/>
        <v>0</v>
      </c>
      <c r="Q134" s="77"/>
      <c r="R134" s="166"/>
      <c r="T134" s="222">
        <f t="shared" si="26"/>
        <v>0</v>
      </c>
      <c r="U134" s="486" t="s">
        <v>137</v>
      </c>
      <c r="V134" s="486"/>
    </row>
    <row r="135" spans="1:22" ht="12.75" customHeight="1" x14ac:dyDescent="0.25">
      <c r="A135" s="306" t="s">
        <v>363</v>
      </c>
      <c r="B135" s="310" t="str">
        <f t="shared" si="27"/>
        <v>H</v>
      </c>
      <c r="C135" s="311" t="str">
        <f t="shared" si="27"/>
        <v>R</v>
      </c>
      <c r="D135" s="97">
        <f>+IF($B135="H",D18,IF(D$38=0,0,D18/12))</f>
        <v>0</v>
      </c>
      <c r="E135" s="97">
        <f>+IF($B135="H",E18,IF(E$38=0,0,E343-SUM($D135:D135)))</f>
        <v>0</v>
      </c>
      <c r="F135" s="97">
        <f>+IF($B135="H",F18,IF(F$38=0,0,F343-SUM($D135:E135)))</f>
        <v>0</v>
      </c>
      <c r="G135" s="97">
        <f>+IF($B135="H",G18,IF(G$38=0,0,G343-SUM($D135:F135)))</f>
        <v>0</v>
      </c>
      <c r="H135" s="97">
        <f>+IF($B135="H",H18,IF(H$38=0,0,H343-SUM($D135:G135)))</f>
        <v>0</v>
      </c>
      <c r="I135" s="97">
        <f>+IF($B135="H",I18,IF(I$38=0,0,I343-SUM($D135:H135)))</f>
        <v>0</v>
      </c>
      <c r="J135" s="97">
        <f>+IF($B135="H",J18,IF(J$38=0,0,J343-SUM($D135:I135)))</f>
        <v>0</v>
      </c>
      <c r="K135" s="97">
        <f>+IF($B135="H",K18,IF(K$38=0,0,K343-SUM($D135:J135)))</f>
        <v>0</v>
      </c>
      <c r="L135" s="97">
        <f>+IF($B135="H",L18,IF(L$38=0,0,L343-SUM($D135:K135)))</f>
        <v>0</v>
      </c>
      <c r="M135" s="97">
        <f>+IF($B135="H",M18,IF(M$38=0,0,M343-SUM($D135:L135)))</f>
        <v>0</v>
      </c>
      <c r="N135" s="97">
        <f>+IF($B135="H",N18,IF(N$38=0,0,N343-SUM($D135:M135)))</f>
        <v>0</v>
      </c>
      <c r="O135" s="97">
        <f>+IF($B135="H",O18,IF(O$38=0,0,O343-SUM($D135:N135)))</f>
        <v>0</v>
      </c>
      <c r="P135" s="70">
        <f t="shared" si="33"/>
        <v>0</v>
      </c>
      <c r="Q135" s="77"/>
      <c r="R135" s="166"/>
      <c r="T135" s="222">
        <f t="shared" si="26"/>
        <v>0</v>
      </c>
      <c r="U135" s="486" t="s">
        <v>138</v>
      </c>
      <c r="V135" s="486"/>
    </row>
    <row r="136" spans="1:22" ht="12.75" customHeight="1" x14ac:dyDescent="0.25">
      <c r="A136" s="307" t="s">
        <v>198</v>
      </c>
      <c r="B136" s="310" t="str">
        <f>+B19</f>
        <v>H</v>
      </c>
      <c r="C136" s="311"/>
      <c r="D136" s="97"/>
      <c r="E136" s="97"/>
      <c r="F136" s="97"/>
      <c r="G136" s="97"/>
      <c r="H136" s="97"/>
      <c r="I136" s="97"/>
      <c r="J136" s="97"/>
      <c r="K136" s="97"/>
      <c r="L136" s="97"/>
      <c r="M136" s="97"/>
      <c r="N136" s="97"/>
      <c r="O136" s="97"/>
      <c r="P136" s="70"/>
      <c r="Q136" s="77">
        <f>+Q19</f>
        <v>0</v>
      </c>
      <c r="R136" s="166"/>
      <c r="T136" s="223">
        <f>+Q136</f>
        <v>0</v>
      </c>
      <c r="U136" s="488" t="s">
        <v>234</v>
      </c>
      <c r="V136" s="488" t="s">
        <v>235</v>
      </c>
    </row>
    <row r="137" spans="1:22" ht="12.75" customHeight="1" x14ac:dyDescent="0.25">
      <c r="A137" s="307" t="s">
        <v>206</v>
      </c>
      <c r="B137" s="310" t="str">
        <f>+B20</f>
        <v>H</v>
      </c>
      <c r="C137" s="311"/>
      <c r="D137" s="97"/>
      <c r="E137" s="97"/>
      <c r="F137" s="97"/>
      <c r="G137" s="97"/>
      <c r="H137" s="97"/>
      <c r="I137" s="97"/>
      <c r="J137" s="97"/>
      <c r="K137" s="97"/>
      <c r="L137" s="97"/>
      <c r="M137" s="97"/>
      <c r="N137" s="97"/>
      <c r="O137" s="97"/>
      <c r="P137" s="70"/>
      <c r="Q137" s="77">
        <f>+Q20</f>
        <v>0</v>
      </c>
      <c r="R137" s="166"/>
      <c r="T137" s="223">
        <f t="shared" ref="T137:T147" si="34">+Q137</f>
        <v>0</v>
      </c>
      <c r="U137" s="488" t="s">
        <v>234</v>
      </c>
      <c r="V137" s="488" t="s">
        <v>235</v>
      </c>
    </row>
    <row r="138" spans="1:22" ht="12.75" customHeight="1" x14ac:dyDescent="0.25">
      <c r="A138" s="307" t="s">
        <v>199</v>
      </c>
      <c r="B138" s="310" t="str">
        <f>+B21</f>
        <v>NH</v>
      </c>
      <c r="C138" s="311"/>
      <c r="D138" s="97"/>
      <c r="E138" s="97"/>
      <c r="F138" s="97"/>
      <c r="G138" s="97"/>
      <c r="H138" s="97"/>
      <c r="I138" s="97"/>
      <c r="J138" s="97"/>
      <c r="K138" s="97"/>
      <c r="L138" s="97"/>
      <c r="M138" s="97"/>
      <c r="N138" s="97"/>
      <c r="O138" s="97"/>
      <c r="P138" s="70"/>
      <c r="Q138" s="77">
        <f>+Q21</f>
        <v>0</v>
      </c>
      <c r="R138" s="166"/>
      <c r="T138" s="223">
        <f t="shared" si="34"/>
        <v>0</v>
      </c>
      <c r="U138" s="488" t="s">
        <v>139</v>
      </c>
      <c r="V138" s="488" t="s">
        <v>235</v>
      </c>
    </row>
    <row r="139" spans="1:22" ht="12.75" customHeight="1" x14ac:dyDescent="0.25">
      <c r="A139" s="307" t="s">
        <v>207</v>
      </c>
      <c r="B139" s="310" t="str">
        <f>+B22</f>
        <v>NH</v>
      </c>
      <c r="C139" s="311"/>
      <c r="D139" s="97"/>
      <c r="E139" s="97"/>
      <c r="F139" s="97"/>
      <c r="G139" s="97"/>
      <c r="H139" s="97"/>
      <c r="I139" s="97"/>
      <c r="J139" s="97"/>
      <c r="K139" s="97"/>
      <c r="L139" s="97"/>
      <c r="M139" s="97"/>
      <c r="N139" s="97"/>
      <c r="O139" s="97"/>
      <c r="P139" s="70"/>
      <c r="Q139" s="77">
        <f>+Q22</f>
        <v>0</v>
      </c>
      <c r="R139" s="166"/>
      <c r="T139" s="223">
        <f t="shared" si="34"/>
        <v>0</v>
      </c>
      <c r="U139" s="488" t="s">
        <v>139</v>
      </c>
      <c r="V139" s="488" t="s">
        <v>235</v>
      </c>
    </row>
    <row r="140" spans="1:22" s="560" customFormat="1" ht="12.75" hidden="1" customHeight="1" x14ac:dyDescent="0.25">
      <c r="A140" s="553" t="s">
        <v>140</v>
      </c>
      <c r="B140" s="554" t="str">
        <f>+B23</f>
        <v>H</v>
      </c>
      <c r="C140" s="555"/>
      <c r="D140" s="618"/>
      <c r="E140" s="618"/>
      <c r="F140" s="618"/>
      <c r="G140" s="618"/>
      <c r="H140" s="618"/>
      <c r="I140" s="618"/>
      <c r="J140" s="618"/>
      <c r="K140" s="618"/>
      <c r="L140" s="618"/>
      <c r="M140" s="618"/>
      <c r="N140" s="618"/>
      <c r="O140" s="618"/>
      <c r="P140" s="557"/>
      <c r="Q140" s="558">
        <f>+Q23</f>
        <v>0</v>
      </c>
      <c r="R140" s="559"/>
      <c r="T140" s="619">
        <f t="shared" si="34"/>
        <v>0</v>
      </c>
      <c r="U140" s="613" t="s">
        <v>140</v>
      </c>
      <c r="V140" s="613" t="s">
        <v>235</v>
      </c>
    </row>
    <row r="141" spans="1:22" s="560" customFormat="1" ht="12.75" hidden="1" customHeight="1" x14ac:dyDescent="0.25">
      <c r="A141" s="553" t="s">
        <v>141</v>
      </c>
      <c r="B141" s="554" t="str">
        <f>+B132</f>
        <v>H</v>
      </c>
      <c r="C141" s="555"/>
      <c r="D141" s="620">
        <f>+MIN(SUM($D$15:D15),Tablas!$H$3*0.4/12*MONTH(D$4))</f>
        <v>0</v>
      </c>
      <c r="E141" s="620">
        <f>+MIN(SUM($D$15:E15),Tablas!$H$3*0.4/12*MONTH(E$4))-SUM($D141:D141)</f>
        <v>0</v>
      </c>
      <c r="F141" s="620">
        <f>+MIN(SUM($D$15:F15),Tablas!$H$3*0.4/12*MONTH(F$4))-SUM($D141:E141)</f>
        <v>0</v>
      </c>
      <c r="G141" s="620">
        <f>+MIN(SUM($D$15:G15),Tablas!$H$3*0.4/12*MONTH(G$4))-SUM($D141:F141)</f>
        <v>0</v>
      </c>
      <c r="H141" s="620">
        <f>+MIN(SUM($D$15:H15),Tablas!$H$3*0.4/12*MONTH(H$4))-SUM($D141:G141)</f>
        <v>0</v>
      </c>
      <c r="I141" s="620">
        <f>+MIN(SUM($D$15:I15),Tablas!$H$3*0.4/12*MONTH(I$4))-SUM($D141:H141)</f>
        <v>0</v>
      </c>
      <c r="J141" s="620">
        <f>+MIN(SUM($D$15:J15),Tablas!$H$3*0.4/12*MONTH(J$4))-SUM($D141:I141)</f>
        <v>0</v>
      </c>
      <c r="K141" s="620">
        <f>+MIN(SUM($D$15:K15),Tablas!$H$3*0.4/12*MONTH(K$4))-SUM($D141:J141)</f>
        <v>0</v>
      </c>
      <c r="L141" s="620">
        <f>+MIN(SUM($D$15:L15),Tablas!$H$3*0.4/12*MONTH(L$4))-SUM($D141:K141)</f>
        <v>0</v>
      </c>
      <c r="M141" s="620">
        <f>+MIN(SUM($D$15:M15),Tablas!$H$3*0.4/12*MONTH(M$4))-SUM($D141:L141)</f>
        <v>0</v>
      </c>
      <c r="N141" s="620">
        <f>+MIN(SUM($D$15:N15),Tablas!$H$3*0.4/12*MONTH(N$4))-SUM($D141:M141)</f>
        <v>0</v>
      </c>
      <c r="O141" s="620">
        <f>+MIN(SUM($D$15:O15),Tablas!$H$3*0.4/12*MONTH(O$4))-SUM($D141:N141)</f>
        <v>0</v>
      </c>
      <c r="P141" s="557"/>
      <c r="Q141" s="558">
        <f>SUM(D141:O141)</f>
        <v>0</v>
      </c>
      <c r="R141" s="559"/>
      <c r="T141" s="619">
        <f t="shared" si="34"/>
        <v>0</v>
      </c>
      <c r="U141" s="613" t="s">
        <v>141</v>
      </c>
      <c r="V141" s="613" t="s">
        <v>235</v>
      </c>
    </row>
    <row r="142" spans="1:22" s="560" customFormat="1" ht="12.75" hidden="1" customHeight="1" x14ac:dyDescent="0.25">
      <c r="A142" s="553" t="s">
        <v>291</v>
      </c>
      <c r="B142" s="554" t="str">
        <f t="shared" ref="B142:B147" si="35">+B24</f>
        <v>H</v>
      </c>
      <c r="C142" s="555"/>
      <c r="D142" s="621"/>
      <c r="E142" s="621"/>
      <c r="F142" s="621"/>
      <c r="G142" s="621"/>
      <c r="H142" s="621"/>
      <c r="I142" s="621"/>
      <c r="J142" s="621"/>
      <c r="K142" s="621"/>
      <c r="L142" s="621"/>
      <c r="M142" s="621"/>
      <c r="N142" s="621"/>
      <c r="O142" s="621"/>
      <c r="P142" s="557"/>
      <c r="Q142" s="558">
        <f>+Q24</f>
        <v>0</v>
      </c>
      <c r="R142" s="559"/>
      <c r="T142" s="619">
        <f t="shared" si="34"/>
        <v>0</v>
      </c>
      <c r="U142" s="613" t="s">
        <v>291</v>
      </c>
      <c r="V142" s="613" t="s">
        <v>235</v>
      </c>
    </row>
    <row r="143" spans="1:22" s="560" customFormat="1" ht="12.75" hidden="1" customHeight="1" x14ac:dyDescent="0.25">
      <c r="A143" s="553" t="s">
        <v>142</v>
      </c>
      <c r="B143" s="554" t="str">
        <f t="shared" si="35"/>
        <v>NH</v>
      </c>
      <c r="C143" s="555"/>
      <c r="D143" s="621"/>
      <c r="E143" s="621"/>
      <c r="F143" s="621"/>
      <c r="G143" s="621"/>
      <c r="H143" s="621"/>
      <c r="I143" s="621"/>
      <c r="J143" s="621"/>
      <c r="K143" s="621"/>
      <c r="L143" s="621"/>
      <c r="M143" s="621"/>
      <c r="N143" s="621"/>
      <c r="O143" s="621"/>
      <c r="P143" s="557"/>
      <c r="Q143" s="558">
        <f>+P16+Q25-P133</f>
        <v>0</v>
      </c>
      <c r="R143" s="559"/>
      <c r="T143" s="619">
        <f t="shared" si="34"/>
        <v>0</v>
      </c>
      <c r="U143" s="613" t="s">
        <v>142</v>
      </c>
      <c r="V143" s="613" t="s">
        <v>235</v>
      </c>
    </row>
    <row r="144" spans="1:22" s="560" customFormat="1" ht="12.75" hidden="1" customHeight="1" x14ac:dyDescent="0.25">
      <c r="A144" s="553" t="s">
        <v>143</v>
      </c>
      <c r="B144" s="554" t="str">
        <f t="shared" si="35"/>
        <v>H</v>
      </c>
      <c r="C144" s="555"/>
      <c r="D144" s="621"/>
      <c r="E144" s="621"/>
      <c r="F144" s="621"/>
      <c r="G144" s="621"/>
      <c r="H144" s="621"/>
      <c r="I144" s="621"/>
      <c r="J144" s="621"/>
      <c r="K144" s="621"/>
      <c r="L144" s="621"/>
      <c r="M144" s="621"/>
      <c r="N144" s="621"/>
      <c r="O144" s="621"/>
      <c r="P144" s="557"/>
      <c r="Q144" s="558">
        <f>+P17+Q26-P134</f>
        <v>0</v>
      </c>
      <c r="R144" s="559"/>
      <c r="T144" s="619">
        <f t="shared" si="34"/>
        <v>0</v>
      </c>
      <c r="U144" s="613" t="s">
        <v>143</v>
      </c>
      <c r="V144" s="613" t="s">
        <v>235</v>
      </c>
    </row>
    <row r="145" spans="1:22" s="560" customFormat="1" ht="12.75" hidden="1" customHeight="1" x14ac:dyDescent="0.25">
      <c r="A145" s="553" t="s">
        <v>144</v>
      </c>
      <c r="B145" s="554" t="str">
        <f t="shared" si="35"/>
        <v>H</v>
      </c>
      <c r="C145" s="555"/>
      <c r="D145" s="621"/>
      <c r="E145" s="621"/>
      <c r="F145" s="621"/>
      <c r="G145" s="621"/>
      <c r="H145" s="621"/>
      <c r="I145" s="621"/>
      <c r="J145" s="621"/>
      <c r="K145" s="621"/>
      <c r="L145" s="621"/>
      <c r="M145" s="621"/>
      <c r="N145" s="621"/>
      <c r="O145" s="621"/>
      <c r="P145" s="557"/>
      <c r="Q145" s="558">
        <f>+P18+Q27-P135</f>
        <v>0</v>
      </c>
      <c r="R145" s="559"/>
      <c r="T145" s="619">
        <f t="shared" si="34"/>
        <v>0</v>
      </c>
      <c r="U145" s="613" t="s">
        <v>144</v>
      </c>
      <c r="V145" s="613" t="s">
        <v>235</v>
      </c>
    </row>
    <row r="146" spans="1:22" s="560" customFormat="1" ht="12.75" hidden="1" customHeight="1" x14ac:dyDescent="0.25">
      <c r="A146" s="553" t="s">
        <v>145</v>
      </c>
      <c r="B146" s="554" t="str">
        <f t="shared" si="35"/>
        <v>H</v>
      </c>
      <c r="C146" s="555"/>
      <c r="D146" s="621"/>
      <c r="E146" s="621"/>
      <c r="F146" s="621"/>
      <c r="G146" s="621"/>
      <c r="H146" s="621"/>
      <c r="I146" s="621"/>
      <c r="J146" s="621"/>
      <c r="K146" s="621"/>
      <c r="L146" s="621"/>
      <c r="M146" s="621"/>
      <c r="N146" s="621"/>
      <c r="O146" s="621"/>
      <c r="P146" s="557"/>
      <c r="Q146" s="558">
        <f>+Q28</f>
        <v>0</v>
      </c>
      <c r="R146" s="559"/>
      <c r="T146" s="619">
        <f t="shared" si="34"/>
        <v>0</v>
      </c>
      <c r="U146" s="613" t="s">
        <v>145</v>
      </c>
      <c r="V146" s="613" t="s">
        <v>235</v>
      </c>
    </row>
    <row r="147" spans="1:22" s="560" customFormat="1" ht="12.75" hidden="1" customHeight="1" x14ac:dyDescent="0.25">
      <c r="A147" s="553" t="s">
        <v>146</v>
      </c>
      <c r="B147" s="554" t="str">
        <f t="shared" si="35"/>
        <v>H</v>
      </c>
      <c r="C147" s="555"/>
      <c r="D147" s="621"/>
      <c r="E147" s="621"/>
      <c r="F147" s="621"/>
      <c r="G147" s="621"/>
      <c r="H147" s="621"/>
      <c r="I147" s="621"/>
      <c r="J147" s="621"/>
      <c r="K147" s="621"/>
      <c r="L147" s="621"/>
      <c r="M147" s="621"/>
      <c r="N147" s="621"/>
      <c r="O147" s="621"/>
      <c r="P147" s="557"/>
      <c r="Q147" s="558">
        <f>+Q29</f>
        <v>0</v>
      </c>
      <c r="R147" s="559"/>
      <c r="T147" s="619">
        <f t="shared" si="34"/>
        <v>0</v>
      </c>
      <c r="U147" s="613" t="s">
        <v>146</v>
      </c>
      <c r="V147" s="613" t="s">
        <v>235</v>
      </c>
    </row>
    <row r="148" spans="1:22" ht="12.75" customHeight="1" x14ac:dyDescent="0.25">
      <c r="A148" s="306"/>
      <c r="B148" s="310"/>
      <c r="C148" s="311"/>
      <c r="D148" s="97"/>
      <c r="E148" s="97"/>
      <c r="F148" s="97"/>
      <c r="G148" s="97"/>
      <c r="H148" s="97"/>
      <c r="I148" s="97"/>
      <c r="J148" s="97"/>
      <c r="K148" s="97"/>
      <c r="L148" s="97"/>
      <c r="M148" s="97"/>
      <c r="N148" s="97"/>
      <c r="O148" s="97"/>
      <c r="P148" s="70"/>
      <c r="Q148" s="77"/>
      <c r="R148" s="166"/>
      <c r="T148" s="176"/>
      <c r="U148" s="486"/>
      <c r="V148" s="486"/>
    </row>
    <row r="149" spans="1:22" ht="12.75" customHeight="1" x14ac:dyDescent="0.25">
      <c r="A149" s="306"/>
      <c r="B149" s="310"/>
      <c r="C149" s="311"/>
      <c r="D149" s="97"/>
      <c r="E149" s="97"/>
      <c r="F149" s="97"/>
      <c r="G149" s="97"/>
      <c r="H149" s="97"/>
      <c r="I149" s="97"/>
      <c r="J149" s="97"/>
      <c r="K149" s="97"/>
      <c r="L149" s="97"/>
      <c r="M149" s="97"/>
      <c r="N149" s="97"/>
      <c r="O149" s="97"/>
      <c r="P149" s="70"/>
      <c r="Q149" s="77"/>
      <c r="R149" s="166"/>
      <c r="T149" s="176"/>
      <c r="U149" s="486"/>
      <c r="V149" s="486"/>
    </row>
    <row r="150" spans="1:22" ht="12.75" customHeight="1" x14ac:dyDescent="0.25">
      <c r="A150" s="306" t="s">
        <v>200</v>
      </c>
      <c r="B150" s="310" t="str">
        <f>+B32</f>
        <v>NH</v>
      </c>
      <c r="C150" s="311" t="str">
        <f>+C32</f>
        <v>R</v>
      </c>
      <c r="D150" s="97">
        <f>+IF($B150="H",D32,IF(D$38=0,0,D32/12))</f>
        <v>0</v>
      </c>
      <c r="E150" s="97">
        <f>+IF($B150="H",E32,IF(E$38=0,0,E345-SUM($D150:D150)))</f>
        <v>0</v>
      </c>
      <c r="F150" s="97">
        <f>+IF($B150="H",F32,IF(F$38=0,0,F345-SUM($D150:E150)))</f>
        <v>0</v>
      </c>
      <c r="G150" s="97">
        <f>+IF($B150="H",G32,IF(G$38=0,0,G345-SUM($D150:F150)))</f>
        <v>0</v>
      </c>
      <c r="H150" s="97">
        <f>+IF($B150="H",H32,IF(H$38=0,0,H345-SUM($D150:G150)))</f>
        <v>0</v>
      </c>
      <c r="I150" s="97">
        <f>+IF($B150="H",I32,IF(I$38=0,0,I345-SUM($D150:H150)))</f>
        <v>0</v>
      </c>
      <c r="J150" s="97">
        <f>+IF($B150="H",J32,IF(J$38=0,0,J345-SUM($D150:I150)))</f>
        <v>0</v>
      </c>
      <c r="K150" s="97">
        <f>+IF($B150="H",K32,IF(K$38=0,0,K345-SUM($D150:J150)))</f>
        <v>0</v>
      </c>
      <c r="L150" s="97">
        <f>+IF($B150="H",L32,IF(L$38=0,0,L345-SUM($D150:K150)))</f>
        <v>0</v>
      </c>
      <c r="M150" s="97">
        <f>+IF($B150="H",M32,IF(M$38=0,0,M345-SUM($D150:L150)))</f>
        <v>0</v>
      </c>
      <c r="N150" s="97">
        <f>+IF($B150="H",N32,IF(N$38=0,0,N345-SUM($D150:M150)))</f>
        <v>0</v>
      </c>
      <c r="O150" s="97">
        <f>+IF($B150="H",O32,IF(O$38=0,0,O345-SUM($D150:N150)))</f>
        <v>0</v>
      </c>
      <c r="P150" s="70">
        <f>IF(B150="H",SUM(D150:O150),P344)</f>
        <v>0</v>
      </c>
      <c r="Q150" s="77"/>
      <c r="R150" s="166"/>
      <c r="T150" s="222">
        <f>+P150</f>
        <v>0</v>
      </c>
      <c r="U150" s="486" t="s">
        <v>147</v>
      </c>
      <c r="V150" s="486"/>
    </row>
    <row r="151" spans="1:22" ht="12.75" customHeight="1" x14ac:dyDescent="0.25">
      <c r="A151" s="306" t="s">
        <v>209</v>
      </c>
      <c r="B151" s="310" t="str">
        <f>+B33</f>
        <v>NH</v>
      </c>
      <c r="C151" s="311" t="str">
        <f>+C33</f>
        <v>NR</v>
      </c>
      <c r="D151" s="97">
        <f>+IF($B151="H",D33,IF(D$38=0,0,D33/12))</f>
        <v>0</v>
      </c>
      <c r="E151" s="97">
        <f>+IF($B151="H",E33,IF(E$38=0,0,E347-SUM($D151:D151)))</f>
        <v>0</v>
      </c>
      <c r="F151" s="97">
        <f>+IF($B151="H",F33,IF(F$38=0,0,F347-SUM($D151:E151)))</f>
        <v>0</v>
      </c>
      <c r="G151" s="97">
        <f>+IF($B151="H",G33,IF(G$38=0,0,G347-SUM($D151:F151)))</f>
        <v>0</v>
      </c>
      <c r="H151" s="97">
        <f>+IF($B151="H",H33,IF(H$38=0,0,H347-SUM($D151:G151)))</f>
        <v>0</v>
      </c>
      <c r="I151" s="97">
        <f>+IF($B151="H",I33,IF(I$38=0,0,I347-SUM($D151:H151)))</f>
        <v>0</v>
      </c>
      <c r="J151" s="97">
        <f>+IF($B151="H",J33,IF(J$38=0,0,J347-SUM($D151:I151)))</f>
        <v>0</v>
      </c>
      <c r="K151" s="97">
        <f>+IF($B151="H",K33,IF(K$38=0,0,K347-SUM($D151:J151)))</f>
        <v>0</v>
      </c>
      <c r="L151" s="97">
        <f>+IF($B151="H",L33,IF(L$38=0,0,L347-SUM($D151:K151)))</f>
        <v>0</v>
      </c>
      <c r="M151" s="97">
        <f>+IF($B151="H",M33,IF(M$38=0,0,M347-SUM($D151:L151)))</f>
        <v>0</v>
      </c>
      <c r="N151" s="97">
        <f>+IF($B151="H",N33,IF(N$38=0,0,N347-SUM($D151:M151)))</f>
        <v>0</v>
      </c>
      <c r="O151" s="97">
        <f>+IF($B151="H",O33,IF(O$38=0,0,O347-SUM($D151:N151)))</f>
        <v>0</v>
      </c>
      <c r="P151" s="70">
        <f>IF(B151="H",SUM(D151:O151),P346)</f>
        <v>0</v>
      </c>
      <c r="Q151" s="77"/>
      <c r="R151" s="166"/>
      <c r="T151" s="222">
        <f>+P151</f>
        <v>0</v>
      </c>
      <c r="U151" s="486" t="s">
        <v>147</v>
      </c>
      <c r="V151" s="486"/>
    </row>
    <row r="152" spans="1:22" ht="12.75" customHeight="1" x14ac:dyDescent="0.25">
      <c r="A152" s="307" t="s">
        <v>201</v>
      </c>
      <c r="B152" s="310" t="str">
        <f>+B34</f>
        <v>NH</v>
      </c>
      <c r="C152" s="311"/>
      <c r="D152" s="97"/>
      <c r="E152" s="97"/>
      <c r="F152" s="97"/>
      <c r="G152" s="97"/>
      <c r="H152" s="97"/>
      <c r="I152" s="97"/>
      <c r="J152" s="97"/>
      <c r="K152" s="97"/>
      <c r="L152" s="97"/>
      <c r="M152" s="97"/>
      <c r="N152" s="97"/>
      <c r="O152" s="97"/>
      <c r="P152" s="70"/>
      <c r="Q152" s="77">
        <f>+Q34</f>
        <v>0</v>
      </c>
      <c r="R152" s="166"/>
      <c r="T152" s="223">
        <f>+Q152</f>
        <v>0</v>
      </c>
      <c r="U152" s="488" t="s">
        <v>148</v>
      </c>
      <c r="V152" s="488" t="s">
        <v>235</v>
      </c>
    </row>
    <row r="153" spans="1:22" ht="12.75" customHeight="1" x14ac:dyDescent="0.25">
      <c r="A153" s="307" t="s">
        <v>210</v>
      </c>
      <c r="B153" s="310" t="str">
        <f>+B35</f>
        <v>NH</v>
      </c>
      <c r="C153" s="311"/>
      <c r="D153" s="97"/>
      <c r="E153" s="97"/>
      <c r="F153" s="97"/>
      <c r="G153" s="97"/>
      <c r="H153" s="97"/>
      <c r="I153" s="97"/>
      <c r="J153" s="97"/>
      <c r="K153" s="97"/>
      <c r="L153" s="97"/>
      <c r="M153" s="97"/>
      <c r="N153" s="97"/>
      <c r="O153" s="97"/>
      <c r="P153" s="70"/>
      <c r="Q153" s="77">
        <f>+Q35</f>
        <v>0</v>
      </c>
      <c r="R153" s="166"/>
      <c r="T153" s="223">
        <f>+Q153</f>
        <v>0</v>
      </c>
      <c r="U153" s="488" t="s">
        <v>148</v>
      </c>
      <c r="V153" s="488" t="s">
        <v>235</v>
      </c>
    </row>
    <row r="154" spans="1:22" ht="12.75" customHeight="1" x14ac:dyDescent="0.25">
      <c r="A154" s="306"/>
      <c r="B154" s="310"/>
      <c r="C154" s="311"/>
      <c r="D154" s="97"/>
      <c r="E154" s="97"/>
      <c r="F154" s="97"/>
      <c r="G154" s="97"/>
      <c r="H154" s="97"/>
      <c r="I154" s="97"/>
      <c r="J154" s="97"/>
      <c r="K154" s="97"/>
      <c r="L154" s="97"/>
      <c r="M154" s="97"/>
      <c r="N154" s="97"/>
      <c r="O154" s="97"/>
      <c r="P154" s="70"/>
      <c r="Q154" s="77"/>
      <c r="R154" s="166"/>
      <c r="T154" s="176"/>
      <c r="U154" s="486"/>
      <c r="V154" s="486"/>
    </row>
    <row r="155" spans="1:22" ht="12.75" customHeight="1" x14ac:dyDescent="0.25">
      <c r="A155" s="306"/>
      <c r="B155" s="310"/>
      <c r="C155" s="311"/>
      <c r="D155" s="97"/>
      <c r="E155" s="97"/>
      <c r="F155" s="97"/>
      <c r="G155" s="97"/>
      <c r="H155" s="97"/>
      <c r="I155" s="97"/>
      <c r="J155" s="97"/>
      <c r="K155" s="97"/>
      <c r="L155" s="97"/>
      <c r="M155" s="97"/>
      <c r="N155" s="97"/>
      <c r="O155" s="97"/>
      <c r="P155" s="70"/>
      <c r="Q155" s="77"/>
      <c r="R155" s="166"/>
      <c r="T155" s="176"/>
      <c r="U155" s="486"/>
      <c r="V155" s="486"/>
    </row>
    <row r="156" spans="1:22" ht="15" customHeight="1" x14ac:dyDescent="0.25">
      <c r="A156" s="304" t="s">
        <v>149</v>
      </c>
      <c r="B156" s="356"/>
      <c r="C156" s="355"/>
      <c r="D156" s="104"/>
      <c r="E156" s="104"/>
      <c r="F156" s="104"/>
      <c r="G156" s="104"/>
      <c r="H156" s="104"/>
      <c r="I156" s="104"/>
      <c r="J156" s="104"/>
      <c r="K156" s="104"/>
      <c r="L156" s="104"/>
      <c r="M156" s="104"/>
      <c r="N156" s="104"/>
      <c r="O156" s="104"/>
      <c r="P156" s="72"/>
      <c r="Q156" s="79"/>
      <c r="R156" s="166"/>
      <c r="T156" s="176"/>
      <c r="U156" s="486"/>
      <c r="V156" s="486"/>
    </row>
    <row r="157" spans="1:22" ht="12.75" customHeight="1" x14ac:dyDescent="0.25">
      <c r="A157" s="306" t="s">
        <v>150</v>
      </c>
      <c r="B157" s="310" t="str">
        <f>+B42</f>
        <v>H</v>
      </c>
      <c r="C157" s="311"/>
      <c r="D157" s="97">
        <f t="shared" ref="D157:O157" si="36">+D42</f>
        <v>0</v>
      </c>
      <c r="E157" s="97">
        <f t="shared" si="36"/>
        <v>0</v>
      </c>
      <c r="F157" s="97">
        <f t="shared" si="36"/>
        <v>0</v>
      </c>
      <c r="G157" s="97">
        <f t="shared" si="36"/>
        <v>0</v>
      </c>
      <c r="H157" s="97">
        <f t="shared" si="36"/>
        <v>0</v>
      </c>
      <c r="I157" s="97">
        <f t="shared" si="36"/>
        <v>0</v>
      </c>
      <c r="J157" s="97">
        <f t="shared" si="36"/>
        <v>0</v>
      </c>
      <c r="K157" s="97">
        <f t="shared" si="36"/>
        <v>0</v>
      </c>
      <c r="L157" s="97">
        <f t="shared" si="36"/>
        <v>0</v>
      </c>
      <c r="M157" s="97">
        <f t="shared" si="36"/>
        <v>0</v>
      </c>
      <c r="N157" s="97">
        <f t="shared" si="36"/>
        <v>0</v>
      </c>
      <c r="O157" s="97">
        <f t="shared" si="36"/>
        <v>0</v>
      </c>
      <c r="P157" s="70">
        <f>SUM(D157:O157)</f>
        <v>0</v>
      </c>
      <c r="Q157" s="77"/>
      <c r="R157" s="166"/>
      <c r="T157" s="222">
        <f>+P157</f>
        <v>0</v>
      </c>
      <c r="U157" s="489" t="s">
        <v>236</v>
      </c>
      <c r="V157" s="486"/>
    </row>
    <row r="158" spans="1:22" ht="12.75" customHeight="1" x14ac:dyDescent="0.25">
      <c r="A158" s="306" t="s">
        <v>132</v>
      </c>
      <c r="B158" s="310" t="str">
        <f>+B43</f>
        <v>NH</v>
      </c>
      <c r="C158" s="311"/>
      <c r="D158" s="97">
        <f>+IF(D3="SI",P348,IF(D$38=0,0,D43/12))</f>
        <v>0</v>
      </c>
      <c r="E158" s="97">
        <f>+IF(E$38=0,0,E349-SUM($D158:D158))</f>
        <v>0</v>
      </c>
      <c r="F158" s="97">
        <f>+IF(F$38=0,0,F349-SUM($D158:E158))</f>
        <v>0</v>
      </c>
      <c r="G158" s="97">
        <f>+IF(G$38=0,0,G349-SUM($D158:F158))</f>
        <v>0</v>
      </c>
      <c r="H158" s="97">
        <f>+IF(H$38=0,0,H349-SUM($D158:G158))</f>
        <v>0</v>
      </c>
      <c r="I158" s="97">
        <f>+IF(I$38=0,0,I349-SUM($D158:H158))</f>
        <v>0</v>
      </c>
      <c r="J158" s="97">
        <f>+IF(J$38=0,0,J349-SUM($D158:I158))</f>
        <v>0</v>
      </c>
      <c r="K158" s="97">
        <f>+IF(K$38=0,0,K349-SUM($D158:J158))</f>
        <v>0</v>
      </c>
      <c r="L158" s="97">
        <f>+IF(L$38=0,0,L349-SUM($D158:K158))</f>
        <v>0</v>
      </c>
      <c r="M158" s="97">
        <f>+IF(M$38=0,0,M349-SUM($D158:L158))</f>
        <v>0</v>
      </c>
      <c r="N158" s="97">
        <f>+IF(N$38=0,0,N349-SUM($D158:M158))</f>
        <v>0</v>
      </c>
      <c r="O158" s="97">
        <f>+IF(O$38=0,0,O349-SUM($D158:N158))</f>
        <v>0</v>
      </c>
      <c r="P158" s="70">
        <f>+P348</f>
        <v>0</v>
      </c>
      <c r="Q158" s="77"/>
      <c r="R158" s="166"/>
      <c r="T158" s="222">
        <f t="shared" ref="T158:T166" si="37">+P158</f>
        <v>0</v>
      </c>
      <c r="U158" s="486" t="s">
        <v>237</v>
      </c>
      <c r="V158" s="486"/>
    </row>
    <row r="159" spans="1:22" s="560" customFormat="1" ht="12.75" hidden="1" customHeight="1" x14ac:dyDescent="0.25">
      <c r="A159" s="622"/>
      <c r="B159" s="554"/>
      <c r="C159" s="555"/>
      <c r="D159" s="618"/>
      <c r="E159" s="618"/>
      <c r="F159" s="618"/>
      <c r="G159" s="618"/>
      <c r="H159" s="618"/>
      <c r="I159" s="618"/>
      <c r="J159" s="618"/>
      <c r="K159" s="618"/>
      <c r="L159" s="618"/>
      <c r="M159" s="618"/>
      <c r="N159" s="618"/>
      <c r="O159" s="618"/>
      <c r="P159" s="557"/>
      <c r="Q159" s="558"/>
      <c r="R159" s="559"/>
      <c r="T159" s="623">
        <f t="shared" si="37"/>
        <v>0</v>
      </c>
      <c r="U159" s="561"/>
      <c r="V159" s="561"/>
    </row>
    <row r="160" spans="1:22" s="560" customFormat="1" ht="12.75" hidden="1" customHeight="1" x14ac:dyDescent="0.25">
      <c r="A160" s="622"/>
      <c r="B160" s="554"/>
      <c r="C160" s="555"/>
      <c r="D160" s="618"/>
      <c r="E160" s="618"/>
      <c r="F160" s="618"/>
      <c r="G160" s="618"/>
      <c r="H160" s="618"/>
      <c r="I160" s="618"/>
      <c r="J160" s="618"/>
      <c r="K160" s="618"/>
      <c r="L160" s="618"/>
      <c r="M160" s="618"/>
      <c r="N160" s="618"/>
      <c r="O160" s="618"/>
      <c r="P160" s="557"/>
      <c r="Q160" s="558"/>
      <c r="R160" s="559"/>
      <c r="T160" s="623">
        <f t="shared" si="37"/>
        <v>0</v>
      </c>
      <c r="U160" s="561"/>
      <c r="V160" s="561"/>
    </row>
    <row r="161" spans="1:22" ht="12.75" customHeight="1" x14ac:dyDescent="0.25">
      <c r="A161" s="306" t="s">
        <v>364</v>
      </c>
      <c r="B161" s="310" t="str">
        <f t="shared" ref="B161:B169" si="38">+B44</f>
        <v>H</v>
      </c>
      <c r="C161" s="311"/>
      <c r="D161" s="97">
        <f t="shared" ref="D161:O161" si="39">+D44</f>
        <v>0</v>
      </c>
      <c r="E161" s="97">
        <f t="shared" si="39"/>
        <v>0</v>
      </c>
      <c r="F161" s="97">
        <f t="shared" si="39"/>
        <v>0</v>
      </c>
      <c r="G161" s="97">
        <f t="shared" si="39"/>
        <v>0</v>
      </c>
      <c r="H161" s="97">
        <f t="shared" si="39"/>
        <v>0</v>
      </c>
      <c r="I161" s="97">
        <f t="shared" si="39"/>
        <v>0</v>
      </c>
      <c r="J161" s="97">
        <f t="shared" si="39"/>
        <v>0</v>
      </c>
      <c r="K161" s="97">
        <f t="shared" si="39"/>
        <v>0</v>
      </c>
      <c r="L161" s="97">
        <f t="shared" si="39"/>
        <v>0</v>
      </c>
      <c r="M161" s="97">
        <f t="shared" si="39"/>
        <v>0</v>
      </c>
      <c r="N161" s="97">
        <f t="shared" si="39"/>
        <v>0</v>
      </c>
      <c r="O161" s="97">
        <f t="shared" si="39"/>
        <v>0</v>
      </c>
      <c r="P161" s="70">
        <f t="shared" ref="P161" si="40">SUM(D161:O161)</f>
        <v>0</v>
      </c>
      <c r="Q161" s="77"/>
      <c r="R161" s="166"/>
      <c r="T161" s="222">
        <f t="shared" si="37"/>
        <v>0</v>
      </c>
      <c r="U161" s="486" t="s">
        <v>238</v>
      </c>
      <c r="V161" s="486"/>
    </row>
    <row r="162" spans="1:22" ht="12.75" customHeight="1" x14ac:dyDescent="0.25">
      <c r="A162" s="306" t="s">
        <v>365</v>
      </c>
      <c r="B162" s="310" t="str">
        <f t="shared" si="38"/>
        <v>H</v>
      </c>
      <c r="C162" s="311"/>
      <c r="D162" s="97">
        <f t="shared" ref="D162:O162" si="41">+D45</f>
        <v>0</v>
      </c>
      <c r="E162" s="97">
        <f t="shared" si="41"/>
        <v>0</v>
      </c>
      <c r="F162" s="97">
        <f t="shared" si="41"/>
        <v>0</v>
      </c>
      <c r="G162" s="97">
        <f t="shared" si="41"/>
        <v>0</v>
      </c>
      <c r="H162" s="97">
        <f t="shared" si="41"/>
        <v>0</v>
      </c>
      <c r="I162" s="97">
        <f t="shared" si="41"/>
        <v>0</v>
      </c>
      <c r="J162" s="97">
        <f t="shared" si="41"/>
        <v>0</v>
      </c>
      <c r="K162" s="97">
        <f t="shared" si="41"/>
        <v>0</v>
      </c>
      <c r="L162" s="97">
        <f t="shared" si="41"/>
        <v>0</v>
      </c>
      <c r="M162" s="97">
        <f t="shared" si="41"/>
        <v>0</v>
      </c>
      <c r="N162" s="97">
        <f t="shared" si="41"/>
        <v>0</v>
      </c>
      <c r="O162" s="97">
        <f t="shared" si="41"/>
        <v>0</v>
      </c>
      <c r="P162" s="70">
        <f>SUM(D162:O162)</f>
        <v>0</v>
      </c>
      <c r="Q162" s="77"/>
      <c r="R162" s="166"/>
      <c r="T162" s="222">
        <f t="shared" si="37"/>
        <v>0</v>
      </c>
      <c r="U162" s="486" t="s">
        <v>239</v>
      </c>
      <c r="V162" s="486"/>
    </row>
    <row r="163" spans="1:22" ht="12.75" customHeight="1" x14ac:dyDescent="0.25">
      <c r="A163" s="306" t="s">
        <v>355</v>
      </c>
      <c r="B163" s="310" t="str">
        <f t="shared" si="38"/>
        <v>H</v>
      </c>
      <c r="C163" s="311"/>
      <c r="D163" s="97">
        <f>+D46</f>
        <v>0</v>
      </c>
      <c r="E163" s="97">
        <f t="shared" ref="E163:O163" si="42">+E46</f>
        <v>0</v>
      </c>
      <c r="F163" s="97">
        <f t="shared" si="42"/>
        <v>0</v>
      </c>
      <c r="G163" s="97">
        <f t="shared" si="42"/>
        <v>0</v>
      </c>
      <c r="H163" s="97">
        <f t="shared" si="42"/>
        <v>0</v>
      </c>
      <c r="I163" s="97">
        <f t="shared" si="42"/>
        <v>0</v>
      </c>
      <c r="J163" s="97">
        <f t="shared" si="42"/>
        <v>0</v>
      </c>
      <c r="K163" s="97">
        <f t="shared" si="42"/>
        <v>0</v>
      </c>
      <c r="L163" s="97">
        <f t="shared" si="42"/>
        <v>0</v>
      </c>
      <c r="M163" s="97">
        <f t="shared" si="42"/>
        <v>0</v>
      </c>
      <c r="N163" s="97">
        <f t="shared" si="42"/>
        <v>0</v>
      </c>
      <c r="O163" s="97">
        <f t="shared" si="42"/>
        <v>0</v>
      </c>
      <c r="P163" s="70">
        <f>+SUM(D163:O163)</f>
        <v>0</v>
      </c>
      <c r="Q163" s="77"/>
      <c r="R163" s="166"/>
      <c r="T163" s="222">
        <f t="shared" si="37"/>
        <v>0</v>
      </c>
      <c r="U163" s="486" t="s">
        <v>240</v>
      </c>
      <c r="V163" s="486"/>
    </row>
    <row r="164" spans="1:22" ht="12.75" customHeight="1" x14ac:dyDescent="0.25">
      <c r="A164" s="306" t="s">
        <v>366</v>
      </c>
      <c r="B164" s="310" t="str">
        <f t="shared" si="38"/>
        <v>NH</v>
      </c>
      <c r="C164" s="311"/>
      <c r="D164" s="97">
        <f>+IF($B164="H",D47,IF(D$38=0,0,D47/12))</f>
        <v>0</v>
      </c>
      <c r="E164" s="97">
        <f>+IF($B164="H",E47,IF(E$38=0,0,E351-SUM($D164:D164)))</f>
        <v>0</v>
      </c>
      <c r="F164" s="97">
        <f>+IF($B164="H",F47,IF(F$38=0,0,F351-SUM($D164:E164)))</f>
        <v>0</v>
      </c>
      <c r="G164" s="97">
        <f>+IF($B164="H",G47,IF(G$38=0,0,G351-SUM($D164:F164)))</f>
        <v>0</v>
      </c>
      <c r="H164" s="97">
        <f>+IF($B164="H",H47,IF(H$38=0,0,H351-SUM($D164:G164)))</f>
        <v>0</v>
      </c>
      <c r="I164" s="97">
        <f>+IF($B164="H",I47,IF(I$38=0,0,I351-SUM($D164:H164)))</f>
        <v>0</v>
      </c>
      <c r="J164" s="97">
        <f>+IF($B164="H",J47,IF(J$38=0,0,J351-SUM($D164:I164)))</f>
        <v>0</v>
      </c>
      <c r="K164" s="97">
        <f>+IF($B164="H",K47,IF(K$38=0,0,K351-SUM($D164:J164)))</f>
        <v>0</v>
      </c>
      <c r="L164" s="97">
        <f>+IF($B164="H",L47,IF(L$38=0,0,L351-SUM($D164:K164)))</f>
        <v>0</v>
      </c>
      <c r="M164" s="97">
        <f>+IF($B164="H",M47,IF(M$38=0,0,M351-SUM($D164:L164)))</f>
        <v>0</v>
      </c>
      <c r="N164" s="97">
        <f>+IF($B164="H",N47,IF(N$38=0,0,N351-SUM($D164:M164)))</f>
        <v>0</v>
      </c>
      <c r="O164" s="97">
        <f>+IF($B164="H",O47,IF(O$38=0,0,O351-SUM($D164:N164)))</f>
        <v>0</v>
      </c>
      <c r="P164" s="70">
        <f t="shared" ref="P164:P166" si="43">+SUM(D164:O164)</f>
        <v>0</v>
      </c>
      <c r="Q164" s="77"/>
      <c r="R164" s="166"/>
      <c r="T164" s="222">
        <f t="shared" si="37"/>
        <v>0</v>
      </c>
      <c r="U164" s="486" t="s">
        <v>241</v>
      </c>
      <c r="V164" s="486"/>
    </row>
    <row r="165" spans="1:22" ht="12.75" customHeight="1" x14ac:dyDescent="0.25">
      <c r="A165" s="306" t="s">
        <v>357</v>
      </c>
      <c r="B165" s="310" t="str">
        <f t="shared" si="38"/>
        <v>H</v>
      </c>
      <c r="C165" s="311"/>
      <c r="D165" s="97">
        <f>+IF($B165="H",D48,IF(D$38=0,0,D48/12))</f>
        <v>0</v>
      </c>
      <c r="E165" s="97">
        <f>+IF($B165="H",E48,IF(E$38=0,0,E353-SUM($D165:D165)))</f>
        <v>0</v>
      </c>
      <c r="F165" s="97">
        <f>+IF($B165="H",F48,IF(F$38=0,0,F353-SUM($D165:E165)))</f>
        <v>0</v>
      </c>
      <c r="G165" s="97">
        <f>+IF($B165="H",G48,IF(G$38=0,0,G353-SUM($D165:F165)))</f>
        <v>0</v>
      </c>
      <c r="H165" s="97">
        <f>+IF($B165="H",H48,IF(H$38=0,0,H353-SUM($D165:G165)))</f>
        <v>0</v>
      </c>
      <c r="I165" s="97">
        <f>+IF($B165="H",I48,IF(I$38=0,0,I353-SUM($D165:H165)))</f>
        <v>0</v>
      </c>
      <c r="J165" s="97">
        <f>+IF($B165="H",J48,IF(J$38=0,0,J353-SUM($D165:I165)))</f>
        <v>0</v>
      </c>
      <c r="K165" s="97">
        <f>+IF($B165="H",K48,IF(K$38=0,0,K353-SUM($D165:J165)))</f>
        <v>0</v>
      </c>
      <c r="L165" s="97">
        <f>+IF($B165="H",L48,IF(L$38=0,0,L353-SUM($D165:K165)))</f>
        <v>0</v>
      </c>
      <c r="M165" s="97">
        <f>+IF($B165="H",M48,IF(M$38=0,0,M353-SUM($D165:L165)))</f>
        <v>0</v>
      </c>
      <c r="N165" s="97">
        <f>+IF($B165="H",N48,IF(N$38=0,0,N353-SUM($D165:M165)))</f>
        <v>0</v>
      </c>
      <c r="O165" s="97">
        <f>+IF($B165="H",O48,IF(O$38=0,0,O353-SUM($D165:N165)))</f>
        <v>0</v>
      </c>
      <c r="P165" s="70">
        <f t="shared" si="43"/>
        <v>0</v>
      </c>
      <c r="Q165" s="77"/>
      <c r="R165" s="166"/>
      <c r="T165" s="222">
        <f t="shared" si="37"/>
        <v>0</v>
      </c>
      <c r="U165" s="486" t="s">
        <v>242</v>
      </c>
      <c r="V165" s="486"/>
    </row>
    <row r="166" spans="1:22" ht="12.75" customHeight="1" x14ac:dyDescent="0.25">
      <c r="A166" s="306" t="s">
        <v>363</v>
      </c>
      <c r="B166" s="310" t="str">
        <f t="shared" si="38"/>
        <v>H</v>
      </c>
      <c r="C166" s="311"/>
      <c r="D166" s="97">
        <f>+IF($B166="H",D49,IF(D$38=0,0,D49/12))</f>
        <v>0</v>
      </c>
      <c r="E166" s="97">
        <f>+IF($B166="H",E49,IF(E$38=0,0,E355-SUM($D166:D166)))</f>
        <v>0</v>
      </c>
      <c r="F166" s="97">
        <f>+IF($B166="H",F49,IF(F$38=0,0,F355-SUM($D166:E166)))</f>
        <v>0</v>
      </c>
      <c r="G166" s="97">
        <f>+IF($B166="H",G49,IF(G$38=0,0,G355-SUM($D166:F166)))</f>
        <v>0</v>
      </c>
      <c r="H166" s="97">
        <f>+IF($B166="H",H49,IF(H$38=0,0,H355-SUM($D166:G166)))</f>
        <v>0</v>
      </c>
      <c r="I166" s="97">
        <f>+IF($B166="H",I49,IF(I$38=0,0,I355-SUM($D166:H166)))</f>
        <v>0</v>
      </c>
      <c r="J166" s="97">
        <f>+IF($B166="H",J49,IF(J$38=0,0,J355-SUM($D166:I166)))</f>
        <v>0</v>
      </c>
      <c r="K166" s="97">
        <f>+IF($B166="H",K49,IF(K$38=0,0,K355-SUM($D166:J166)))</f>
        <v>0</v>
      </c>
      <c r="L166" s="97">
        <f>+IF($B166="H",L49,IF(L$38=0,0,L355-SUM($D166:K166)))</f>
        <v>0</v>
      </c>
      <c r="M166" s="97">
        <f>+IF($B166="H",M49,IF(M$38=0,0,M355-SUM($D166:L166)))</f>
        <v>0</v>
      </c>
      <c r="N166" s="97">
        <f>+IF($B166="H",N49,IF(N$38=0,0,N355-SUM($D166:M166)))</f>
        <v>0</v>
      </c>
      <c r="O166" s="97">
        <f>+IF($B166="H",O49,IF(O$38=0,0,O355-SUM($D166:N166)))</f>
        <v>0</v>
      </c>
      <c r="P166" s="70">
        <f t="shared" si="43"/>
        <v>0</v>
      </c>
      <c r="Q166" s="77"/>
      <c r="R166" s="166"/>
      <c r="T166" s="222">
        <f t="shared" si="37"/>
        <v>0</v>
      </c>
      <c r="U166" s="486" t="s">
        <v>243</v>
      </c>
      <c r="V166" s="486"/>
    </row>
    <row r="167" spans="1:22" ht="12.75" customHeight="1" x14ac:dyDescent="0.25">
      <c r="A167" s="307" t="s">
        <v>151</v>
      </c>
      <c r="B167" s="310" t="str">
        <f t="shared" si="38"/>
        <v>H</v>
      </c>
      <c r="C167" s="311"/>
      <c r="D167" s="97"/>
      <c r="E167" s="97"/>
      <c r="F167" s="97"/>
      <c r="G167" s="97"/>
      <c r="H167" s="97"/>
      <c r="I167" s="97"/>
      <c r="J167" s="97"/>
      <c r="K167" s="97"/>
      <c r="L167" s="97"/>
      <c r="M167" s="97"/>
      <c r="N167" s="97"/>
      <c r="O167" s="97"/>
      <c r="P167" s="70"/>
      <c r="Q167" s="77">
        <f>+Q50</f>
        <v>0</v>
      </c>
      <c r="R167" s="166"/>
      <c r="T167" s="223">
        <f>+Q167</f>
        <v>0</v>
      </c>
      <c r="U167" s="488" t="s">
        <v>244</v>
      </c>
      <c r="V167" s="488" t="s">
        <v>235</v>
      </c>
    </row>
    <row r="168" spans="1:22" ht="12.75" customHeight="1" x14ac:dyDescent="0.25">
      <c r="A168" s="307" t="s">
        <v>139</v>
      </c>
      <c r="B168" s="310" t="str">
        <f t="shared" si="38"/>
        <v>NH</v>
      </c>
      <c r="C168" s="311"/>
      <c r="D168" s="97"/>
      <c r="E168" s="97"/>
      <c r="F168" s="97"/>
      <c r="G168" s="97"/>
      <c r="H168" s="97"/>
      <c r="I168" s="97"/>
      <c r="J168" s="97"/>
      <c r="K168" s="97"/>
      <c r="L168" s="97"/>
      <c r="M168" s="97"/>
      <c r="N168" s="97"/>
      <c r="O168" s="97"/>
      <c r="P168" s="70"/>
      <c r="Q168" s="77">
        <f>+Q51</f>
        <v>0</v>
      </c>
      <c r="R168" s="166"/>
      <c r="T168" s="223">
        <f t="shared" ref="T168:T178" si="44">+Q168</f>
        <v>0</v>
      </c>
      <c r="U168" s="488" t="s">
        <v>245</v>
      </c>
      <c r="V168" s="488" t="s">
        <v>235</v>
      </c>
    </row>
    <row r="169" spans="1:22" s="560" customFormat="1" ht="12.75" hidden="1" customHeight="1" x14ac:dyDescent="0.25">
      <c r="A169" s="553" t="s">
        <v>140</v>
      </c>
      <c r="B169" s="554" t="str">
        <f t="shared" si="38"/>
        <v>H</v>
      </c>
      <c r="C169" s="555"/>
      <c r="D169" s="618"/>
      <c r="E169" s="618"/>
      <c r="F169" s="618"/>
      <c r="G169" s="618"/>
      <c r="H169" s="618"/>
      <c r="I169" s="618"/>
      <c r="J169" s="618"/>
      <c r="K169" s="618"/>
      <c r="L169" s="618"/>
      <c r="M169" s="618"/>
      <c r="N169" s="618"/>
      <c r="O169" s="618"/>
      <c r="P169" s="557"/>
      <c r="Q169" s="558">
        <f>+Q52</f>
        <v>0</v>
      </c>
      <c r="R169" s="559"/>
      <c r="T169" s="619">
        <f t="shared" si="44"/>
        <v>0</v>
      </c>
      <c r="U169" s="613" t="s">
        <v>246</v>
      </c>
      <c r="V169" s="613" t="s">
        <v>235</v>
      </c>
    </row>
    <row r="170" spans="1:22" s="560" customFormat="1" ht="12.75" hidden="1" customHeight="1" x14ac:dyDescent="0.25">
      <c r="A170" s="553" t="s">
        <v>141</v>
      </c>
      <c r="B170" s="554" t="str">
        <f>+B163</f>
        <v>H</v>
      </c>
      <c r="C170" s="555"/>
      <c r="D170" s="620">
        <f>MIN(SUM($D$15:D15,$D$46:D46),Tablas!$H$3*0.4/12*MONTH(D$4))-SUM($C$170:C$170,$C$141:D$141)</f>
        <v>0</v>
      </c>
      <c r="E170" s="620">
        <f>MIN(SUM($D$15:E15,$D$46:E46),Tablas!$H$3*0.4/12*MONTH(E$4))-SUM($C$170:D$170,$C$141:E$141)</f>
        <v>0</v>
      </c>
      <c r="F170" s="620">
        <f>MIN(SUM($D$15:F15,$D$46:F46),Tablas!$H$3*0.4/12*MONTH(F$4))-SUM($C$170:E$170,$C$141:F$141)</f>
        <v>0</v>
      </c>
      <c r="G170" s="620">
        <f>MIN(SUM($D$15:G15,$D$46:G46),Tablas!$H$3*0.4/12*MONTH(G$4))-SUM($C$170:F$170,$C$141:G$141)</f>
        <v>0</v>
      </c>
      <c r="H170" s="620">
        <f>MIN(SUM($D$15:H15,$D$46:H46),Tablas!$H$3*0.4/12*MONTH(H$4))-SUM($C$170:G$170,$C$141:H$141)</f>
        <v>0</v>
      </c>
      <c r="I170" s="620">
        <f>MIN(SUM($D$15:I15,$D$46:I46),Tablas!$H$3*0.4/12*MONTH(I$4))-SUM($C$170:H$170,$C$141:I$141)</f>
        <v>0</v>
      </c>
      <c r="J170" s="620">
        <f>MIN(SUM($D$15:J15,$D$46:J46),Tablas!$H$3*0.4/12*MONTH(J$4))-SUM($C$170:I$170,$C$141:J$141)</f>
        <v>0</v>
      </c>
      <c r="K170" s="620">
        <f>MIN(SUM($D$15:K15,$D$46:K46),Tablas!$H$3*0.4/12*MONTH(K$4))-SUM($C$170:J$170,$C$141:K$141)</f>
        <v>0</v>
      </c>
      <c r="L170" s="620">
        <f>MIN(SUM($D$15:L15,$D$46:L46),Tablas!$H$3*0.4/12*MONTH(L$4))-SUM($C$170:K$170,$C$141:L$141)</f>
        <v>0</v>
      </c>
      <c r="M170" s="620">
        <f>MIN(SUM($D$15:M15,$D$46:M46),Tablas!$H$3*0.4/12*MONTH(M$4))-SUM($C$170:L$170,$C$141:M$141)</f>
        <v>0</v>
      </c>
      <c r="N170" s="620">
        <f>MIN(SUM($D$15:N15,$D$46:N46),Tablas!$H$3*0.4/12*MONTH(N$4))-SUM($C$170:M$170,$C$141:N$141)</f>
        <v>0</v>
      </c>
      <c r="O170" s="620">
        <f>MIN(SUM($D$15:O15,$D$46:O46),Tablas!$H$3*0.4/12*MONTH(O$4))-SUM($C$170:N$170,$C$141:O$141)</f>
        <v>0</v>
      </c>
      <c r="P170" s="557"/>
      <c r="Q170" s="558">
        <f>SUM(D170:O170)</f>
        <v>0</v>
      </c>
      <c r="R170" s="559"/>
      <c r="T170" s="619">
        <f t="shared" si="44"/>
        <v>0</v>
      </c>
      <c r="U170" s="613" t="s">
        <v>247</v>
      </c>
      <c r="V170" s="613" t="s">
        <v>235</v>
      </c>
    </row>
    <row r="171" spans="1:22" s="560" customFormat="1" ht="12.75" hidden="1" customHeight="1" x14ac:dyDescent="0.25">
      <c r="A171" s="553" t="s">
        <v>291</v>
      </c>
      <c r="B171" s="554" t="str">
        <f t="shared" ref="B171:B176" si="45">+B53</f>
        <v>H</v>
      </c>
      <c r="C171" s="555"/>
      <c r="D171" s="618"/>
      <c r="E171" s="618"/>
      <c r="F171" s="618"/>
      <c r="G171" s="618"/>
      <c r="H171" s="618"/>
      <c r="I171" s="618"/>
      <c r="J171" s="618"/>
      <c r="K171" s="618"/>
      <c r="L171" s="618"/>
      <c r="M171" s="618"/>
      <c r="N171" s="618"/>
      <c r="O171" s="618"/>
      <c r="P171" s="557"/>
      <c r="Q171" s="558">
        <f>+Q53</f>
        <v>0</v>
      </c>
      <c r="R171" s="559"/>
      <c r="T171" s="619">
        <f t="shared" si="44"/>
        <v>0</v>
      </c>
      <c r="U171" s="613" t="s">
        <v>292</v>
      </c>
      <c r="V171" s="613" t="s">
        <v>235</v>
      </c>
    </row>
    <row r="172" spans="1:22" s="560" customFormat="1" ht="12.75" hidden="1" customHeight="1" x14ac:dyDescent="0.25">
      <c r="A172" s="553" t="s">
        <v>142</v>
      </c>
      <c r="B172" s="554" t="str">
        <f t="shared" si="45"/>
        <v>NH</v>
      </c>
      <c r="C172" s="555"/>
      <c r="D172" s="618"/>
      <c r="E172" s="618"/>
      <c r="F172" s="618"/>
      <c r="G172" s="618"/>
      <c r="H172" s="618"/>
      <c r="I172" s="618"/>
      <c r="J172" s="618"/>
      <c r="K172" s="618"/>
      <c r="L172" s="618"/>
      <c r="M172" s="618"/>
      <c r="N172" s="618"/>
      <c r="O172" s="618"/>
      <c r="P172" s="557"/>
      <c r="Q172" s="558">
        <f>+P47+Q54-P164</f>
        <v>0</v>
      </c>
      <c r="R172" s="559"/>
      <c r="T172" s="619">
        <f t="shared" si="44"/>
        <v>0</v>
      </c>
      <c r="U172" s="613" t="s">
        <v>248</v>
      </c>
      <c r="V172" s="613" t="s">
        <v>235</v>
      </c>
    </row>
    <row r="173" spans="1:22" s="560" customFormat="1" ht="12.75" hidden="1" customHeight="1" x14ac:dyDescent="0.25">
      <c r="A173" s="553" t="s">
        <v>143</v>
      </c>
      <c r="B173" s="554" t="str">
        <f t="shared" si="45"/>
        <v>H</v>
      </c>
      <c r="C173" s="555"/>
      <c r="D173" s="618"/>
      <c r="E173" s="618"/>
      <c r="F173" s="618"/>
      <c r="G173" s="618"/>
      <c r="H173" s="618"/>
      <c r="I173" s="618"/>
      <c r="J173" s="618"/>
      <c r="K173" s="618"/>
      <c r="L173" s="618"/>
      <c r="M173" s="618"/>
      <c r="N173" s="618"/>
      <c r="O173" s="618"/>
      <c r="P173" s="557"/>
      <c r="Q173" s="558">
        <f>+P48+Q55-P165</f>
        <v>0</v>
      </c>
      <c r="R173" s="559"/>
      <c r="T173" s="619">
        <f t="shared" si="44"/>
        <v>0</v>
      </c>
      <c r="U173" s="613" t="s">
        <v>249</v>
      </c>
      <c r="V173" s="613" t="s">
        <v>235</v>
      </c>
    </row>
    <row r="174" spans="1:22" s="560" customFormat="1" ht="12.75" hidden="1" customHeight="1" x14ac:dyDescent="0.25">
      <c r="A174" s="553" t="s">
        <v>144</v>
      </c>
      <c r="B174" s="554" t="str">
        <f t="shared" si="45"/>
        <v>H</v>
      </c>
      <c r="C174" s="555"/>
      <c r="D174" s="618"/>
      <c r="E174" s="618"/>
      <c r="F174" s="618"/>
      <c r="G174" s="618"/>
      <c r="H174" s="618"/>
      <c r="I174" s="618"/>
      <c r="J174" s="618"/>
      <c r="K174" s="618"/>
      <c r="L174" s="618"/>
      <c r="M174" s="618"/>
      <c r="N174" s="618"/>
      <c r="O174" s="618"/>
      <c r="P174" s="557"/>
      <c r="Q174" s="558">
        <f>+P49+Q56-P166</f>
        <v>0</v>
      </c>
      <c r="R174" s="559"/>
      <c r="T174" s="619">
        <f t="shared" si="44"/>
        <v>0</v>
      </c>
      <c r="U174" s="613" t="s">
        <v>250</v>
      </c>
      <c r="V174" s="613" t="s">
        <v>235</v>
      </c>
    </row>
    <row r="175" spans="1:22" s="560" customFormat="1" ht="12.75" hidden="1" customHeight="1" x14ac:dyDescent="0.25">
      <c r="A175" s="553" t="s">
        <v>145</v>
      </c>
      <c r="B175" s="554" t="str">
        <f t="shared" si="45"/>
        <v>H</v>
      </c>
      <c r="C175" s="555"/>
      <c r="D175" s="618"/>
      <c r="E175" s="618"/>
      <c r="F175" s="618"/>
      <c r="G175" s="618"/>
      <c r="H175" s="618"/>
      <c r="I175" s="618"/>
      <c r="J175" s="618"/>
      <c r="K175" s="618"/>
      <c r="L175" s="618"/>
      <c r="M175" s="618"/>
      <c r="N175" s="618"/>
      <c r="O175" s="618"/>
      <c r="P175" s="557"/>
      <c r="Q175" s="558">
        <f>+Q57</f>
        <v>0</v>
      </c>
      <c r="R175" s="559"/>
      <c r="T175" s="619">
        <f t="shared" si="44"/>
        <v>0</v>
      </c>
      <c r="U175" s="613" t="s">
        <v>251</v>
      </c>
      <c r="V175" s="613" t="s">
        <v>235</v>
      </c>
    </row>
    <row r="176" spans="1:22" s="560" customFormat="1" ht="12.75" hidden="1" customHeight="1" x14ac:dyDescent="0.25">
      <c r="A176" s="553" t="s">
        <v>146</v>
      </c>
      <c r="B176" s="554" t="str">
        <f t="shared" si="45"/>
        <v>H</v>
      </c>
      <c r="C176" s="555"/>
      <c r="D176" s="618"/>
      <c r="E176" s="618"/>
      <c r="F176" s="618"/>
      <c r="G176" s="618"/>
      <c r="H176" s="618"/>
      <c r="I176" s="618"/>
      <c r="J176" s="618"/>
      <c r="K176" s="618"/>
      <c r="L176" s="618"/>
      <c r="M176" s="618"/>
      <c r="N176" s="618"/>
      <c r="O176" s="618"/>
      <c r="P176" s="557"/>
      <c r="Q176" s="558">
        <f>+Q58</f>
        <v>0</v>
      </c>
      <c r="R176" s="559"/>
      <c r="T176" s="619">
        <f t="shared" si="44"/>
        <v>0</v>
      </c>
      <c r="U176" s="613" t="s">
        <v>252</v>
      </c>
      <c r="V176" s="613" t="s">
        <v>235</v>
      </c>
    </row>
    <row r="177" spans="1:22" ht="12.75" customHeight="1" x14ac:dyDescent="0.25">
      <c r="A177" s="306"/>
      <c r="B177" s="310"/>
      <c r="C177" s="311"/>
      <c r="D177" s="97"/>
      <c r="E177" s="97"/>
      <c r="F177" s="97"/>
      <c r="G177" s="97"/>
      <c r="H177" s="97"/>
      <c r="I177" s="97"/>
      <c r="J177" s="97"/>
      <c r="K177" s="97"/>
      <c r="L177" s="97"/>
      <c r="M177" s="97"/>
      <c r="N177" s="97"/>
      <c r="O177" s="97"/>
      <c r="P177" s="70"/>
      <c r="Q177" s="77"/>
      <c r="R177" s="166"/>
      <c r="T177" s="223">
        <f t="shared" si="44"/>
        <v>0</v>
      </c>
      <c r="U177" s="486"/>
      <c r="V177" s="486"/>
    </row>
    <row r="178" spans="1:22" ht="12.75" customHeight="1" x14ac:dyDescent="0.25">
      <c r="A178" s="306"/>
      <c r="B178" s="310"/>
      <c r="C178" s="311"/>
      <c r="D178" s="97"/>
      <c r="E178" s="97"/>
      <c r="F178" s="97"/>
      <c r="G178" s="97"/>
      <c r="H178" s="97"/>
      <c r="I178" s="97"/>
      <c r="J178" s="97"/>
      <c r="K178" s="97"/>
      <c r="L178" s="97"/>
      <c r="M178" s="97"/>
      <c r="N178" s="97"/>
      <c r="O178" s="97"/>
      <c r="P178" s="70"/>
      <c r="Q178" s="77"/>
      <c r="R178" s="166"/>
      <c r="T178" s="223">
        <f t="shared" si="44"/>
        <v>0</v>
      </c>
      <c r="U178" s="486"/>
      <c r="V178" s="486"/>
    </row>
    <row r="179" spans="1:22" ht="12.75" customHeight="1" x14ac:dyDescent="0.25">
      <c r="A179" s="306" t="s">
        <v>147</v>
      </c>
      <c r="B179" s="310" t="str">
        <f>+B61</f>
        <v>NH</v>
      </c>
      <c r="C179" s="311"/>
      <c r="D179" s="97">
        <f>+IF($B179="H",D61,IF(D$38=0,0,D61/12))</f>
        <v>0</v>
      </c>
      <c r="E179" s="97">
        <f>+IF($B179="H",E61,IF(E$38=0,0,E357-SUM($D179:D179)))</f>
        <v>0</v>
      </c>
      <c r="F179" s="97">
        <f>+IF($B179="H",F61,IF(F$38=0,0,F357-SUM($D179:E179)))</f>
        <v>0</v>
      </c>
      <c r="G179" s="97">
        <f>+IF($B179="H",G61,IF(G$38=0,0,G357-SUM($D179:F179)))</f>
        <v>0</v>
      </c>
      <c r="H179" s="97">
        <f>+IF($B179="H",H61,IF(H$38=0,0,H357-SUM($D179:G179)))</f>
        <v>0</v>
      </c>
      <c r="I179" s="97">
        <f>+IF($B179="H",I61,IF(I$38=0,0,I357-SUM($D179:H179)))</f>
        <v>0</v>
      </c>
      <c r="J179" s="97">
        <f>+IF($B179="H",J61,IF(J$38=0,0,J357-SUM($D179:I179)))</f>
        <v>0</v>
      </c>
      <c r="K179" s="97">
        <f>+IF($B179="H",K61,IF(K$38=0,0,K357-SUM($D179:J179)))</f>
        <v>0</v>
      </c>
      <c r="L179" s="97">
        <f>+IF($B179="H",L61,IF(L$38=0,0,L357-SUM($D179:K179)))</f>
        <v>0</v>
      </c>
      <c r="M179" s="97">
        <f>+IF($B179="H",M61,IF(M$38=0,0,M357-SUM($D179:L179)))</f>
        <v>0</v>
      </c>
      <c r="N179" s="97">
        <f>+IF($B179="H",N61,IF(N$38=0,0,N357-SUM($D179:M179)))</f>
        <v>0</v>
      </c>
      <c r="O179" s="97">
        <f>+IF($B179="H",O61,IF(O$38=0,0,O357-SUM($D179:N179)))</f>
        <v>0</v>
      </c>
      <c r="P179" s="70">
        <f>IF(B179="H",SUM(D179:O179),P356)</f>
        <v>0</v>
      </c>
      <c r="Q179" s="77"/>
      <c r="R179" s="166"/>
      <c r="T179" s="222">
        <f>+P179</f>
        <v>0</v>
      </c>
      <c r="U179" s="486" t="s">
        <v>253</v>
      </c>
      <c r="V179" s="486"/>
    </row>
    <row r="180" spans="1:22" ht="12.75" customHeight="1" x14ac:dyDescent="0.25">
      <c r="A180" s="307" t="s">
        <v>148</v>
      </c>
      <c r="B180" s="310" t="str">
        <f>+B62</f>
        <v>NH</v>
      </c>
      <c r="C180" s="311"/>
      <c r="D180" s="97"/>
      <c r="E180" s="97"/>
      <c r="F180" s="97"/>
      <c r="G180" s="97"/>
      <c r="H180" s="97"/>
      <c r="I180" s="97"/>
      <c r="J180" s="97"/>
      <c r="K180" s="97"/>
      <c r="L180" s="97"/>
      <c r="M180" s="97"/>
      <c r="N180" s="97"/>
      <c r="O180" s="97"/>
      <c r="P180" s="70"/>
      <c r="Q180" s="77">
        <f>+Q62</f>
        <v>0</v>
      </c>
      <c r="R180" s="166"/>
      <c r="T180" s="223">
        <f>+Q180</f>
        <v>0</v>
      </c>
      <c r="U180" s="488" t="s">
        <v>254</v>
      </c>
      <c r="V180" s="488" t="s">
        <v>235</v>
      </c>
    </row>
    <row r="181" spans="1:22" ht="12.75" customHeight="1" x14ac:dyDescent="0.25">
      <c r="A181" s="306"/>
      <c r="B181" s="310"/>
      <c r="C181" s="311"/>
      <c r="D181" s="97"/>
      <c r="E181" s="97"/>
      <c r="F181" s="97"/>
      <c r="G181" s="97"/>
      <c r="H181" s="97"/>
      <c r="I181" s="97"/>
      <c r="J181" s="97"/>
      <c r="K181" s="97"/>
      <c r="L181" s="97"/>
      <c r="M181" s="97"/>
      <c r="N181" s="97"/>
      <c r="O181" s="97"/>
      <c r="P181" s="70"/>
      <c r="Q181" s="77"/>
      <c r="R181" s="166"/>
      <c r="T181" s="176"/>
      <c r="U181" s="488"/>
      <c r="V181" s="488"/>
    </row>
    <row r="182" spans="1:22" ht="12.75" customHeight="1" x14ac:dyDescent="0.25">
      <c r="A182" s="306"/>
      <c r="B182" s="310"/>
      <c r="C182" s="311"/>
      <c r="D182" s="97"/>
      <c r="E182" s="97"/>
      <c r="F182" s="97"/>
      <c r="G182" s="97"/>
      <c r="H182" s="97"/>
      <c r="I182" s="97"/>
      <c r="J182" s="97"/>
      <c r="K182" s="97"/>
      <c r="L182" s="97"/>
      <c r="M182" s="97"/>
      <c r="N182" s="97"/>
      <c r="O182" s="97"/>
      <c r="P182" s="70"/>
      <c r="Q182" s="77"/>
      <c r="R182" s="166"/>
      <c r="T182" s="176"/>
      <c r="U182" s="486"/>
      <c r="V182" s="486"/>
    </row>
    <row r="183" spans="1:22" ht="12.75" customHeight="1" x14ac:dyDescent="0.25">
      <c r="A183" s="317" t="s">
        <v>232</v>
      </c>
      <c r="B183" s="310"/>
      <c r="C183" s="311"/>
      <c r="D183" s="362">
        <f t="shared" ref="D183:O183" si="46">+SUM(D124:D135,D150:D151,D157:D166,D179:D179)</f>
        <v>0</v>
      </c>
      <c r="E183" s="362">
        <f t="shared" si="46"/>
        <v>0</v>
      </c>
      <c r="F183" s="362">
        <f t="shared" si="46"/>
        <v>0</v>
      </c>
      <c r="G183" s="362">
        <f t="shared" si="46"/>
        <v>0</v>
      </c>
      <c r="H183" s="362">
        <f t="shared" si="46"/>
        <v>0</v>
      </c>
      <c r="I183" s="362">
        <f t="shared" si="46"/>
        <v>0</v>
      </c>
      <c r="J183" s="362">
        <f t="shared" si="46"/>
        <v>0</v>
      </c>
      <c r="K183" s="362">
        <f t="shared" si="46"/>
        <v>0</v>
      </c>
      <c r="L183" s="362">
        <f t="shared" si="46"/>
        <v>0</v>
      </c>
      <c r="M183" s="362">
        <f t="shared" si="46"/>
        <v>0</v>
      </c>
      <c r="N183" s="362">
        <f t="shared" si="46"/>
        <v>0</v>
      </c>
      <c r="O183" s="362">
        <f t="shared" si="46"/>
        <v>0</v>
      </c>
      <c r="P183" s="70">
        <f>+SUM(P124:P182)</f>
        <v>0</v>
      </c>
      <c r="Q183" s="77"/>
      <c r="R183" s="166"/>
      <c r="T183" s="176"/>
      <c r="U183" s="486"/>
      <c r="V183" s="486"/>
    </row>
    <row r="184" spans="1:22" ht="12.75" customHeight="1" x14ac:dyDescent="0.25">
      <c r="A184" s="318" t="s">
        <v>218</v>
      </c>
      <c r="B184" s="310"/>
      <c r="C184" s="311"/>
      <c r="D184" s="363"/>
      <c r="E184" s="363"/>
      <c r="F184" s="363"/>
      <c r="G184" s="363"/>
      <c r="H184" s="363"/>
      <c r="I184" s="363"/>
      <c r="J184" s="363"/>
      <c r="K184" s="363"/>
      <c r="L184" s="363"/>
      <c r="M184" s="363"/>
      <c r="N184" s="363"/>
      <c r="O184" s="363"/>
      <c r="P184" s="97"/>
      <c r="Q184" s="98">
        <f>+SUM(Q124:Q182)</f>
        <v>0</v>
      </c>
      <c r="R184" s="166"/>
      <c r="T184" s="176"/>
      <c r="U184" s="486"/>
      <c r="V184" s="486"/>
    </row>
    <row r="185" spans="1:22" ht="12.75" customHeight="1" x14ac:dyDescent="0.25">
      <c r="A185" s="317" t="s">
        <v>233</v>
      </c>
      <c r="B185" s="310"/>
      <c r="C185" s="311"/>
      <c r="D185" s="362">
        <f>SUM(D183:D184)</f>
        <v>0</v>
      </c>
      <c r="E185" s="362">
        <f t="shared" ref="E185:O185" si="47">SUM(E183:E184)</f>
        <v>0</v>
      </c>
      <c r="F185" s="362">
        <f t="shared" si="47"/>
        <v>0</v>
      </c>
      <c r="G185" s="362">
        <f t="shared" si="47"/>
        <v>0</v>
      </c>
      <c r="H185" s="362">
        <f t="shared" si="47"/>
        <v>0</v>
      </c>
      <c r="I185" s="362">
        <f t="shared" si="47"/>
        <v>0</v>
      </c>
      <c r="J185" s="362">
        <f t="shared" si="47"/>
        <v>0</v>
      </c>
      <c r="K185" s="362">
        <f t="shared" si="47"/>
        <v>0</v>
      </c>
      <c r="L185" s="362">
        <f t="shared" si="47"/>
        <v>0</v>
      </c>
      <c r="M185" s="362">
        <f t="shared" si="47"/>
        <v>0</v>
      </c>
      <c r="N185" s="362">
        <f t="shared" si="47"/>
        <v>0</v>
      </c>
      <c r="O185" s="362">
        <f t="shared" si="47"/>
        <v>0</v>
      </c>
      <c r="P185" s="70"/>
      <c r="Q185" s="77"/>
      <c r="R185" s="142">
        <f>+P183+Q184</f>
        <v>0</v>
      </c>
      <c r="T185" s="176"/>
      <c r="U185" s="486"/>
      <c r="V185" s="486"/>
    </row>
    <row r="186" spans="1:22" ht="15" customHeight="1" x14ac:dyDescent="0.25">
      <c r="A186" s="357"/>
      <c r="B186" s="358"/>
      <c r="C186" s="359"/>
      <c r="D186" s="364"/>
      <c r="E186" s="364"/>
      <c r="F186" s="364"/>
      <c r="G186" s="364"/>
      <c r="H186" s="364"/>
      <c r="I186" s="364"/>
      <c r="J186" s="364"/>
      <c r="K186" s="364"/>
      <c r="L186" s="364"/>
      <c r="M186" s="364"/>
      <c r="N186" s="364"/>
      <c r="O186" s="364"/>
      <c r="P186" s="456"/>
      <c r="Q186" s="457"/>
      <c r="T186" s="176"/>
      <c r="U186" s="486"/>
      <c r="V186" s="486"/>
    </row>
    <row r="187" spans="1:22" ht="15" customHeight="1" x14ac:dyDescent="0.25">
      <c r="A187" s="343"/>
      <c r="B187" s="360"/>
      <c r="C187" s="361"/>
      <c r="D187" s="8"/>
      <c r="E187" s="8"/>
      <c r="F187" s="8"/>
      <c r="G187" s="8"/>
      <c r="H187" s="8"/>
      <c r="I187" s="8"/>
      <c r="J187" s="8"/>
      <c r="K187" s="8"/>
      <c r="L187" s="8"/>
      <c r="M187" s="8"/>
      <c r="N187" s="8"/>
      <c r="O187" s="8"/>
      <c r="P187" s="1"/>
      <c r="Q187" s="6"/>
      <c r="T187" s="176"/>
      <c r="U187" s="486"/>
      <c r="V187" s="486"/>
    </row>
    <row r="188" spans="1:22" ht="6" customHeight="1" x14ac:dyDescent="0.25">
      <c r="A188" s="225"/>
      <c r="B188" s="226"/>
      <c r="C188" s="226"/>
      <c r="D188" s="227"/>
      <c r="E188" s="227"/>
      <c r="F188" s="227"/>
      <c r="G188" s="227"/>
      <c r="H188" s="227"/>
      <c r="I188" s="227"/>
      <c r="J188" s="227"/>
      <c r="K188" s="227"/>
      <c r="L188" s="227"/>
      <c r="M188" s="227"/>
      <c r="N188" s="227"/>
      <c r="O188" s="227"/>
      <c r="P188" s="92"/>
      <c r="Q188" s="93"/>
      <c r="T188" s="176"/>
      <c r="U188" s="486"/>
      <c r="V188" s="486"/>
    </row>
    <row r="189" spans="1:22" s="229" customFormat="1" ht="14.4" customHeight="1" x14ac:dyDescent="0.25">
      <c r="A189" s="365" t="s">
        <v>187</v>
      </c>
      <c r="B189" s="228"/>
      <c r="C189" s="228"/>
      <c r="D189" s="76"/>
      <c r="E189" s="76"/>
      <c r="F189" s="76"/>
      <c r="G189" s="76"/>
      <c r="H189" s="76"/>
      <c r="I189" s="76"/>
      <c r="J189" s="76"/>
      <c r="K189" s="76"/>
      <c r="L189" s="76"/>
      <c r="M189" s="76"/>
      <c r="N189" s="76"/>
      <c r="O189" s="76"/>
      <c r="P189" s="105"/>
      <c r="Q189" s="42"/>
      <c r="T189" s="230"/>
      <c r="U189" s="489"/>
      <c r="V189" s="489"/>
    </row>
    <row r="190" spans="1:22" s="229" customFormat="1" ht="14.4" customHeight="1" x14ac:dyDescent="0.25">
      <c r="A190" s="366" t="s">
        <v>168</v>
      </c>
      <c r="B190" s="199"/>
      <c r="C190" s="199"/>
      <c r="D190" s="231">
        <f>+D193</f>
        <v>0</v>
      </c>
      <c r="E190" s="231">
        <f>+E193</f>
        <v>0</v>
      </c>
      <c r="F190" s="231">
        <f t="shared" ref="F190:O190" si="48">+F193</f>
        <v>0</v>
      </c>
      <c r="G190" s="231">
        <f t="shared" si="48"/>
        <v>0</v>
      </c>
      <c r="H190" s="231">
        <f t="shared" si="48"/>
        <v>0</v>
      </c>
      <c r="I190" s="231">
        <f t="shared" si="48"/>
        <v>0</v>
      </c>
      <c r="J190" s="231">
        <f t="shared" si="48"/>
        <v>0</v>
      </c>
      <c r="K190" s="231">
        <f t="shared" si="48"/>
        <v>0</v>
      </c>
      <c r="L190" s="231">
        <f t="shared" si="48"/>
        <v>0</v>
      </c>
      <c r="M190" s="231">
        <f t="shared" si="48"/>
        <v>0</v>
      </c>
      <c r="N190" s="231">
        <f t="shared" si="48"/>
        <v>0</v>
      </c>
      <c r="O190" s="231">
        <f t="shared" si="48"/>
        <v>0</v>
      </c>
      <c r="P190" s="85"/>
      <c r="Q190" s="42"/>
      <c r="T190" s="230"/>
      <c r="U190" s="489"/>
      <c r="V190" s="489"/>
    </row>
    <row r="191" spans="1:22" s="229" customFormat="1" ht="13.8" customHeight="1" x14ac:dyDescent="0.25">
      <c r="A191" s="366" t="s">
        <v>190</v>
      </c>
      <c r="B191" s="199"/>
      <c r="C191" s="199"/>
      <c r="D191" s="231">
        <f>+Tablas!D27/12</f>
        <v>96426.069166666668</v>
      </c>
      <c r="E191" s="231">
        <f>+IF(E2="SI",Tablas!E27/12,Tablas!D27/12)</f>
        <v>96426.069166666668</v>
      </c>
      <c r="F191" s="231">
        <f>+IF(F2="SI",Tablas!F27/12,Tablas!E27/12)</f>
        <v>122634.675</v>
      </c>
      <c r="G191" s="231">
        <f>+IF(G2="SI",Tablas!G27/12,Tablas!F27/12)</f>
        <v>156236.57583333334</v>
      </c>
      <c r="H191" s="231">
        <f>+IF(H2="SI",Tablas!H27/12,Tablas!G27/12)</f>
        <v>173438.2225</v>
      </c>
      <c r="I191" s="231">
        <f>+IF(I2="SI",Tablas!I27/12,Tablas!H27/12)</f>
        <v>188752.8175</v>
      </c>
      <c r="J191" s="231">
        <f>+IF(J2="SI",Tablas!J27/12,Tablas!I27/12)</f>
        <v>196642.68500000003</v>
      </c>
      <c r="K191" s="231">
        <f>+IF(K2="SI",Tablas!K27/12,Tablas!J27/12)</f>
        <v>205648.92</v>
      </c>
      <c r="L191" s="231">
        <f>+IF(L2="SI",Tablas!L27/12,Tablas!K27/12)</f>
        <v>213936.57166666666</v>
      </c>
      <c r="M191" s="231">
        <f>+IF(M2="SI",Tablas!M27/12,Tablas!L27/12)</f>
        <v>222857.72666666668</v>
      </c>
      <c r="N191" s="231">
        <f>+IF(N2="SI",Tablas!N27/12,Tablas!M27/12)</f>
        <v>222857.72666666668</v>
      </c>
      <c r="O191" s="231">
        <f>+IF(O2="SI",Tablas!O27/12,Tablas!N27/12)</f>
        <v>222857.72666666668</v>
      </c>
      <c r="P191" s="85"/>
      <c r="Q191" s="42"/>
      <c r="T191" s="230"/>
      <c r="U191" s="489"/>
      <c r="V191" s="489"/>
    </row>
    <row r="192" spans="1:22" s="229" customFormat="1" ht="14.4" customHeight="1" x14ac:dyDescent="0.25">
      <c r="A192" s="658"/>
      <c r="B192" s="199"/>
      <c r="C192" s="199"/>
      <c r="D192" s="231">
        <f>+MIN(D190:D191)</f>
        <v>0</v>
      </c>
      <c r="E192" s="231">
        <f t="shared" ref="E192:O192" si="49">+MIN(E190:E191)</f>
        <v>0</v>
      </c>
      <c r="F192" s="231">
        <f t="shared" si="49"/>
        <v>0</v>
      </c>
      <c r="G192" s="231">
        <f t="shared" si="49"/>
        <v>0</v>
      </c>
      <c r="H192" s="231">
        <f t="shared" si="49"/>
        <v>0</v>
      </c>
      <c r="I192" s="231">
        <f t="shared" si="49"/>
        <v>0</v>
      </c>
      <c r="J192" s="231">
        <f t="shared" si="49"/>
        <v>0</v>
      </c>
      <c r="K192" s="231">
        <f t="shared" si="49"/>
        <v>0</v>
      </c>
      <c r="L192" s="231">
        <f t="shared" si="49"/>
        <v>0</v>
      </c>
      <c r="M192" s="231">
        <f t="shared" si="49"/>
        <v>0</v>
      </c>
      <c r="N192" s="231">
        <f t="shared" si="49"/>
        <v>0</v>
      </c>
      <c r="O192" s="231">
        <f t="shared" si="49"/>
        <v>0</v>
      </c>
      <c r="P192" s="85"/>
      <c r="Q192" s="42"/>
      <c r="T192" s="230"/>
      <c r="U192" s="489"/>
      <c r="V192" s="489"/>
    </row>
    <row r="193" spans="1:22" ht="15.6" customHeight="1" x14ac:dyDescent="0.25">
      <c r="A193" s="367" t="s">
        <v>383</v>
      </c>
      <c r="B193" s="232"/>
      <c r="C193" s="233"/>
      <c r="D193" s="132">
        <f>+IF(D76&gt;Tablas!$I$29,D360/12,0)</f>
        <v>0</v>
      </c>
      <c r="E193" s="132">
        <f>+IF(E76&gt;Tablas!$I$29,E360/12,0)</f>
        <v>0</v>
      </c>
      <c r="F193" s="132">
        <f>+IF(F76&gt;Tablas!$I$29,F360/12,0)</f>
        <v>0</v>
      </c>
      <c r="G193" s="132">
        <f>+IF(G76&gt;Tablas!$I$29,G360/12,0)</f>
        <v>0</v>
      </c>
      <c r="H193" s="132">
        <f>+IF(H76&gt;Tablas!$I$29,H360/12,0)</f>
        <v>0</v>
      </c>
      <c r="I193" s="132">
        <f>IF(Parametros!$B$13="Junio-Diciembre",I366-I365,IF(I76&gt;Tablas!$I$29,I360/12,0))</f>
        <v>0</v>
      </c>
      <c r="J193" s="132">
        <f>+IF(J76&gt;Tablas!$O$29,J360/12,0)</f>
        <v>0</v>
      </c>
      <c r="K193" s="132">
        <f>+IF(K76&gt;Tablas!$O$29,K360/12,0)</f>
        <v>0</v>
      </c>
      <c r="L193" s="132">
        <f>+IF(L76&gt;Tablas!$O$29,L360/12,0)</f>
        <v>0</v>
      </c>
      <c r="M193" s="132">
        <f>+IF(M76&gt;Tablas!$O$29,M360/12,0)</f>
        <v>0</v>
      </c>
      <c r="N193" s="132">
        <f>+IF(N76&gt;Tablas!$O$29,N360/12,0)</f>
        <v>0</v>
      </c>
      <c r="O193" s="132">
        <f>IF(Parametros!$B$13="Junio-Diciembre",O366-O365,IF(O76&gt;Tablas!$O$29,O360/12,0))</f>
        <v>0</v>
      </c>
      <c r="P193" s="75">
        <f>SUM(D193:O193)</f>
        <v>0</v>
      </c>
      <c r="Q193" s="6"/>
      <c r="T193" s="176"/>
      <c r="U193" s="486"/>
      <c r="V193" s="486"/>
    </row>
    <row r="194" spans="1:22" ht="15.6" customHeight="1" x14ac:dyDescent="0.25">
      <c r="A194" s="56" t="s">
        <v>22</v>
      </c>
      <c r="B194" s="234"/>
      <c r="C194" s="235"/>
      <c r="D194" s="86">
        <f>+D$192*Tablas!D37</f>
        <v>0</v>
      </c>
      <c r="E194" s="86">
        <f>+E$192*Tablas!E37</f>
        <v>0</v>
      </c>
      <c r="F194" s="86">
        <f>+F$192*Tablas!F37</f>
        <v>0</v>
      </c>
      <c r="G194" s="86">
        <f>+G$192*Tablas!G37</f>
        <v>0</v>
      </c>
      <c r="H194" s="86">
        <f>+H$192*Tablas!H37</f>
        <v>0</v>
      </c>
      <c r="I194" s="86">
        <f>IF(Parametros!$B$13="Junio-Diciembre",I374-I368,I$192*Tablas!I37)</f>
        <v>0</v>
      </c>
      <c r="J194" s="86">
        <f>+J$192*Tablas!J37</f>
        <v>0</v>
      </c>
      <c r="K194" s="86">
        <f>+K$192*Tablas!K37</f>
        <v>0</v>
      </c>
      <c r="L194" s="86">
        <f>+L$192*Tablas!L37</f>
        <v>0</v>
      </c>
      <c r="M194" s="86">
        <f>+M$192*Tablas!M37</f>
        <v>0</v>
      </c>
      <c r="N194" s="86">
        <f>+N$192*Tablas!N37</f>
        <v>0</v>
      </c>
      <c r="O194" s="86">
        <f>IF(Parametros!$B$13="Junio-Diciembre",O374-O368,O$192*Tablas!O37)</f>
        <v>0</v>
      </c>
      <c r="P194" s="107">
        <f>SUM(D194:O194)</f>
        <v>0</v>
      </c>
      <c r="Q194" s="6"/>
      <c r="T194" s="176"/>
      <c r="U194" s="486"/>
      <c r="V194" s="486"/>
    </row>
    <row r="195" spans="1:22" ht="15.6" customHeight="1" x14ac:dyDescent="0.25">
      <c r="A195" s="56" t="s">
        <v>23</v>
      </c>
      <c r="B195" s="234"/>
      <c r="C195" s="235"/>
      <c r="D195" s="86">
        <f>+D$192*Tablas!D38</f>
        <v>0</v>
      </c>
      <c r="E195" s="86">
        <f>+E$192*Tablas!E38</f>
        <v>0</v>
      </c>
      <c r="F195" s="86">
        <f>+F$192*Tablas!F38</f>
        <v>0</v>
      </c>
      <c r="G195" s="86">
        <f>+G$192*Tablas!G38</f>
        <v>0</v>
      </c>
      <c r="H195" s="86">
        <f>+H$192*Tablas!H38</f>
        <v>0</v>
      </c>
      <c r="I195" s="86">
        <f>IF(Parametros!$B$13="Junio-Diciembre",I375-I369,I$192*Tablas!I38)</f>
        <v>0</v>
      </c>
      <c r="J195" s="86">
        <f>+J$192*Tablas!J38</f>
        <v>0</v>
      </c>
      <c r="K195" s="86">
        <f>+K$192*Tablas!K38</f>
        <v>0</v>
      </c>
      <c r="L195" s="86">
        <f>+L$192*Tablas!L38</f>
        <v>0</v>
      </c>
      <c r="M195" s="86">
        <f>+M$192*Tablas!M38</f>
        <v>0</v>
      </c>
      <c r="N195" s="86">
        <f>+N$192*Tablas!N38</f>
        <v>0</v>
      </c>
      <c r="O195" s="86">
        <f>IF(Parametros!$B$13="Junio-Diciembre",O375-O369,O$192*Tablas!O38)</f>
        <v>0</v>
      </c>
      <c r="P195" s="107">
        <f t="shared" ref="P195:P198" si="50">SUM(D195:O195)</f>
        <v>0</v>
      </c>
      <c r="Q195" s="6"/>
      <c r="T195" s="176"/>
      <c r="U195" s="486"/>
      <c r="V195" s="486"/>
    </row>
    <row r="196" spans="1:22" ht="15.6" customHeight="1" x14ac:dyDescent="0.25">
      <c r="A196" s="56" t="s">
        <v>24</v>
      </c>
      <c r="B196" s="234"/>
      <c r="C196" s="235"/>
      <c r="D196" s="86">
        <f>+D$192*Tablas!D39</f>
        <v>0</v>
      </c>
      <c r="E196" s="86">
        <f>+E$192*Tablas!E39</f>
        <v>0</v>
      </c>
      <c r="F196" s="86">
        <f>+F$192*Tablas!F39</f>
        <v>0</v>
      </c>
      <c r="G196" s="86">
        <f>+G$192*Tablas!G39</f>
        <v>0</v>
      </c>
      <c r="H196" s="86">
        <f>+H$192*Tablas!H39</f>
        <v>0</v>
      </c>
      <c r="I196" s="86">
        <f>IF(Parametros!$B$13="Junio-Diciembre",I376-I370,I$192*Tablas!I39)</f>
        <v>0</v>
      </c>
      <c r="J196" s="86">
        <f>+J$192*Tablas!J39</f>
        <v>0</v>
      </c>
      <c r="K196" s="86">
        <f>+K$192*Tablas!K39</f>
        <v>0</v>
      </c>
      <c r="L196" s="86">
        <f>+L$192*Tablas!L39</f>
        <v>0</v>
      </c>
      <c r="M196" s="86">
        <f>+M$192*Tablas!M39</f>
        <v>0</v>
      </c>
      <c r="N196" s="86">
        <f>+N$192*Tablas!N39</f>
        <v>0</v>
      </c>
      <c r="O196" s="86">
        <f>IF(Parametros!$B$13="Junio-Diciembre",O376-O370,O$192*Tablas!O39)</f>
        <v>0</v>
      </c>
      <c r="P196" s="107">
        <f t="shared" si="50"/>
        <v>0</v>
      </c>
      <c r="Q196" s="6"/>
      <c r="T196" s="176"/>
      <c r="U196" s="486"/>
      <c r="V196" s="486"/>
    </row>
    <row r="197" spans="1:22" ht="15.6" customHeight="1" x14ac:dyDescent="0.25">
      <c r="A197" s="56" t="str">
        <f>+A89</f>
        <v>Sindicato</v>
      </c>
      <c r="B197" s="234"/>
      <c r="C197" s="235"/>
      <c r="D197" s="86">
        <f>+D$193*Tablas!D40</f>
        <v>0</v>
      </c>
      <c r="E197" s="86">
        <f>+E$193*Tablas!E40</f>
        <v>0</v>
      </c>
      <c r="F197" s="86">
        <f>+F$193*Tablas!F40</f>
        <v>0</v>
      </c>
      <c r="G197" s="86">
        <f>+G$193*Tablas!G40</f>
        <v>0</v>
      </c>
      <c r="H197" s="86">
        <f>+H$193*Tablas!H40</f>
        <v>0</v>
      </c>
      <c r="I197" s="86">
        <f>IF(Parametros!$B$13="Junio-Diciembre",I377-I371,I$192*Tablas!I40)</f>
        <v>0</v>
      </c>
      <c r="J197" s="86">
        <f>+J$193*Tablas!J40</f>
        <v>0</v>
      </c>
      <c r="K197" s="86">
        <f>+K$193*Tablas!K40</f>
        <v>0</v>
      </c>
      <c r="L197" s="86">
        <f>+L$193*Tablas!L40</f>
        <v>0</v>
      </c>
      <c r="M197" s="86">
        <f>+M$193*Tablas!M40</f>
        <v>0</v>
      </c>
      <c r="N197" s="86">
        <f>+N$193*Tablas!N40</f>
        <v>0</v>
      </c>
      <c r="O197" s="86">
        <f>IF(Parametros!$B$13="Junio-Diciembre",O377-O371,O$192*Tablas!O40)</f>
        <v>0</v>
      </c>
      <c r="P197" s="107">
        <f t="shared" si="50"/>
        <v>0</v>
      </c>
      <c r="Q197" s="6"/>
      <c r="T197" s="176"/>
      <c r="U197" s="486"/>
      <c r="V197" s="486"/>
    </row>
    <row r="198" spans="1:22" ht="15.6" customHeight="1" x14ac:dyDescent="0.25">
      <c r="A198" s="84" t="str">
        <f>+A90</f>
        <v>Otros descuentos (x Ej: importes fijos)</v>
      </c>
      <c r="B198" s="234"/>
      <c r="C198" s="177"/>
      <c r="D198" s="55">
        <v>0</v>
      </c>
      <c r="E198" s="55">
        <v>0</v>
      </c>
      <c r="F198" s="55">
        <v>0</v>
      </c>
      <c r="G198" s="55">
        <v>0</v>
      </c>
      <c r="H198" s="55">
        <v>0</v>
      </c>
      <c r="I198" s="55">
        <f>IF(Parametros!$B$13="Junio-Diciembre",I378-I372,0)</f>
        <v>0</v>
      </c>
      <c r="J198" s="87">
        <v>0</v>
      </c>
      <c r="K198" s="87">
        <v>0</v>
      </c>
      <c r="L198" s="87">
        <v>0</v>
      </c>
      <c r="M198" s="87">
        <v>0</v>
      </c>
      <c r="N198" s="87">
        <v>0</v>
      </c>
      <c r="O198" s="87">
        <f>IF(Parametros!$B$13="Junio-Diciembre",O378-O372,0)</f>
        <v>0</v>
      </c>
      <c r="P198" s="107">
        <f t="shared" si="50"/>
        <v>0</v>
      </c>
      <c r="Q198" s="6"/>
      <c r="T198" s="176"/>
      <c r="U198" s="486"/>
      <c r="V198" s="486"/>
    </row>
    <row r="199" spans="1:22" ht="14.25" customHeight="1" x14ac:dyDescent="0.25">
      <c r="A199" s="368" t="s">
        <v>188</v>
      </c>
      <c r="B199" s="234"/>
      <c r="C199" s="177"/>
      <c r="D199" s="123">
        <f>+SUM(D194:D198)</f>
        <v>0</v>
      </c>
      <c r="E199" s="123">
        <f t="shared" ref="E199:O199" si="51">+SUM(E194:E198)</f>
        <v>0</v>
      </c>
      <c r="F199" s="123">
        <f t="shared" si="51"/>
        <v>0</v>
      </c>
      <c r="G199" s="123">
        <f t="shared" si="51"/>
        <v>0</v>
      </c>
      <c r="H199" s="123">
        <f t="shared" si="51"/>
        <v>0</v>
      </c>
      <c r="I199" s="123">
        <f t="shared" si="51"/>
        <v>0</v>
      </c>
      <c r="J199" s="123">
        <f t="shared" si="51"/>
        <v>0</v>
      </c>
      <c r="K199" s="123">
        <f t="shared" si="51"/>
        <v>0</v>
      </c>
      <c r="L199" s="123">
        <f t="shared" si="51"/>
        <v>0</v>
      </c>
      <c r="M199" s="123">
        <f t="shared" si="51"/>
        <v>0</v>
      </c>
      <c r="N199" s="123">
        <f t="shared" si="51"/>
        <v>0</v>
      </c>
      <c r="O199" s="123">
        <f t="shared" si="51"/>
        <v>0</v>
      </c>
      <c r="P199" s="75"/>
      <c r="Q199" s="6"/>
      <c r="R199" s="236"/>
      <c r="S199" s="237"/>
      <c r="T199" s="176"/>
      <c r="U199" s="486"/>
      <c r="V199" s="486"/>
    </row>
    <row r="200" spans="1:22" ht="14.25" customHeight="1" x14ac:dyDescent="0.25">
      <c r="A200" s="369" t="s">
        <v>384</v>
      </c>
      <c r="B200" s="238"/>
      <c r="C200" s="177"/>
      <c r="D200" s="373">
        <f t="shared" ref="D200:O200" si="52">+D193-D199</f>
        <v>0</v>
      </c>
      <c r="E200" s="373">
        <f t="shared" si="52"/>
        <v>0</v>
      </c>
      <c r="F200" s="373">
        <f t="shared" si="52"/>
        <v>0</v>
      </c>
      <c r="G200" s="373">
        <f t="shared" si="52"/>
        <v>0</v>
      </c>
      <c r="H200" s="373">
        <f t="shared" si="52"/>
        <v>0</v>
      </c>
      <c r="I200" s="373">
        <f>+I193-I199</f>
        <v>0</v>
      </c>
      <c r="J200" s="373">
        <f t="shared" si="52"/>
        <v>0</v>
      </c>
      <c r="K200" s="373">
        <f t="shared" si="52"/>
        <v>0</v>
      </c>
      <c r="L200" s="373">
        <f t="shared" si="52"/>
        <v>0</v>
      </c>
      <c r="M200" s="373">
        <f t="shared" si="52"/>
        <v>0</v>
      </c>
      <c r="N200" s="373">
        <f t="shared" si="52"/>
        <v>0</v>
      </c>
      <c r="O200" s="373">
        <f t="shared" si="52"/>
        <v>0</v>
      </c>
      <c r="P200" s="75"/>
      <c r="Q200" s="6"/>
      <c r="T200" s="176"/>
      <c r="U200" s="486"/>
      <c r="V200" s="486"/>
    </row>
    <row r="201" spans="1:22" s="156" customFormat="1" ht="14.25" customHeight="1" x14ac:dyDescent="0.25">
      <c r="A201" s="239"/>
      <c r="B201" s="240"/>
      <c r="C201" s="240"/>
      <c r="D201" s="125"/>
      <c r="E201" s="125"/>
      <c r="F201" s="125"/>
      <c r="G201" s="125"/>
      <c r="H201" s="125"/>
      <c r="I201" s="125"/>
      <c r="J201" s="125"/>
      <c r="K201" s="125"/>
      <c r="L201" s="125"/>
      <c r="M201" s="125"/>
      <c r="N201" s="125"/>
      <c r="O201" s="125"/>
      <c r="P201" s="88"/>
      <c r="Q201" s="89"/>
      <c r="T201" s="230"/>
      <c r="U201" s="489"/>
      <c r="V201" s="489"/>
    </row>
    <row r="202" spans="1:22" s="156" customFormat="1" ht="14.25" customHeight="1" x14ac:dyDescent="0.25">
      <c r="A202" s="365" t="s">
        <v>385</v>
      </c>
      <c r="B202" s="241"/>
      <c r="C202" s="241"/>
      <c r="D202" s="242"/>
      <c r="E202" s="242"/>
      <c r="F202" s="242"/>
      <c r="G202" s="242"/>
      <c r="H202" s="242"/>
      <c r="I202" s="242"/>
      <c r="J202" s="242"/>
      <c r="K202" s="242"/>
      <c r="L202" s="242"/>
      <c r="M202" s="242"/>
      <c r="N202" s="242"/>
      <c r="O202" s="242"/>
      <c r="P202" s="106"/>
      <c r="Q202" s="89"/>
      <c r="T202" s="230"/>
      <c r="U202" s="489"/>
      <c r="V202" s="489"/>
    </row>
    <row r="203" spans="1:22" s="156" customFormat="1" ht="14.25" customHeight="1" x14ac:dyDescent="0.25">
      <c r="A203" s="370" t="s">
        <v>191</v>
      </c>
      <c r="B203" s="240"/>
      <c r="C203" s="240" t="s">
        <v>189</v>
      </c>
      <c r="D203" s="125">
        <f t="shared" ref="D203:O203" si="53">+D65</f>
        <v>0</v>
      </c>
      <c r="E203" s="125">
        <f t="shared" si="53"/>
        <v>0</v>
      </c>
      <c r="F203" s="125">
        <f t="shared" si="53"/>
        <v>0</v>
      </c>
      <c r="G203" s="125">
        <f t="shared" si="53"/>
        <v>0</v>
      </c>
      <c r="H203" s="125">
        <f t="shared" si="53"/>
        <v>0</v>
      </c>
      <c r="I203" s="125">
        <f t="shared" si="53"/>
        <v>0</v>
      </c>
      <c r="J203" s="125">
        <f t="shared" si="53"/>
        <v>0</v>
      </c>
      <c r="K203" s="125">
        <f t="shared" si="53"/>
        <v>0</v>
      </c>
      <c r="L203" s="125">
        <f t="shared" si="53"/>
        <v>0</v>
      </c>
      <c r="M203" s="125">
        <f t="shared" si="53"/>
        <v>0</v>
      </c>
      <c r="N203" s="125">
        <f t="shared" si="53"/>
        <v>0</v>
      </c>
      <c r="O203" s="125">
        <f t="shared" si="53"/>
        <v>0</v>
      </c>
      <c r="P203" s="88"/>
      <c r="Q203" s="89"/>
      <c r="T203" s="230"/>
      <c r="U203" s="489"/>
      <c r="V203" s="489"/>
    </row>
    <row r="204" spans="1:22" s="156" customFormat="1" ht="14.25" customHeight="1" x14ac:dyDescent="0.25">
      <c r="A204" s="371" t="s">
        <v>386</v>
      </c>
      <c r="B204" s="243"/>
      <c r="C204" s="243"/>
      <c r="D204" s="372">
        <f>+IF(D76&gt;Tablas!$I$29,D203/12,0)</f>
        <v>0</v>
      </c>
      <c r="E204" s="372">
        <f>+IF(E76&gt;Tablas!$I$29,E203/12,0)</f>
        <v>0</v>
      </c>
      <c r="F204" s="372">
        <f>+IF(F76&gt;Tablas!$I$29,F203/12,0)</f>
        <v>0</v>
      </c>
      <c r="G204" s="372">
        <f>+IF(G76&gt;Tablas!$I$29,G203/12,0)</f>
        <v>0</v>
      </c>
      <c r="H204" s="372">
        <f>+IF(H76&gt;Tablas!$I$29,H203/12,0)</f>
        <v>0</v>
      </c>
      <c r="I204" s="372">
        <f>IF(Parametros!B13="Junio-Diciembre",I382-I381,IF(I76&gt;Tablas!$I$29,I203/12,0))</f>
        <v>0</v>
      </c>
      <c r="J204" s="372">
        <f>+IF(J76&gt;Tablas!$O$29,J203/12,0)</f>
        <v>0</v>
      </c>
      <c r="K204" s="372">
        <f>+IF(K76&gt;Tablas!$O$29,K203/12,0)</f>
        <v>0</v>
      </c>
      <c r="L204" s="372">
        <f>+IF(L76&gt;Tablas!$O$29,L203/12,0)</f>
        <v>0</v>
      </c>
      <c r="M204" s="372">
        <f>+IF(M76&gt;Tablas!$O$29,M203/12,0)</f>
        <v>0</v>
      </c>
      <c r="N204" s="372">
        <f>+IF(N76&gt;Tablas!$O$29,N203/12,0)</f>
        <v>0</v>
      </c>
      <c r="O204" s="372">
        <f>IF(Parametros!B13="Junio-Diciembre",O382-O381,IF(O76&gt;Tablas!$O$29,O203/12,0))</f>
        <v>0</v>
      </c>
      <c r="P204" s="91">
        <f>SUM(D204:O204)</f>
        <v>0</v>
      </c>
      <c r="Q204" s="89"/>
      <c r="T204" s="230"/>
      <c r="U204" s="489"/>
      <c r="V204" s="489"/>
    </row>
    <row r="205" spans="1:22" s="229" customFormat="1" ht="14.25" customHeight="1" x14ac:dyDescent="0.25">
      <c r="B205" s="199"/>
      <c r="C205" s="199"/>
      <c r="D205" s="90"/>
      <c r="E205" s="90"/>
      <c r="F205" s="90"/>
      <c r="G205" s="90"/>
      <c r="H205" s="90"/>
      <c r="I205" s="90"/>
      <c r="J205" s="90"/>
      <c r="K205" s="90"/>
      <c r="L205" s="90"/>
      <c r="M205" s="90"/>
      <c r="N205" s="90"/>
      <c r="O205" s="90"/>
      <c r="P205" s="83"/>
      <c r="Q205" s="42"/>
      <c r="T205" s="230"/>
      <c r="U205" s="489"/>
      <c r="V205" s="489"/>
    </row>
    <row r="206" spans="1:22" s="229" customFormat="1" ht="7.2" customHeight="1" x14ac:dyDescent="0.25">
      <c r="A206" s="244"/>
      <c r="B206" s="245"/>
      <c r="C206" s="245"/>
      <c r="D206" s="94"/>
      <c r="E206" s="94"/>
      <c r="F206" s="94"/>
      <c r="G206" s="94"/>
      <c r="H206" s="94"/>
      <c r="I206" s="94"/>
      <c r="J206" s="94"/>
      <c r="K206" s="94"/>
      <c r="L206" s="94"/>
      <c r="M206" s="94"/>
      <c r="N206" s="94"/>
      <c r="O206" s="94"/>
      <c r="P206" s="95"/>
      <c r="Q206" s="96"/>
      <c r="T206" s="230"/>
      <c r="U206" s="489"/>
      <c r="V206" s="489"/>
    </row>
    <row r="207" spans="1:22" s="229" customFormat="1" ht="14.25" customHeight="1" x14ac:dyDescent="0.25">
      <c r="B207" s="199"/>
      <c r="C207" s="199"/>
      <c r="D207" s="90"/>
      <c r="E207" s="90"/>
      <c r="F207" s="90"/>
      <c r="G207" s="90"/>
      <c r="H207" s="90"/>
      <c r="I207" s="90"/>
      <c r="J207" s="90"/>
      <c r="K207" s="90"/>
      <c r="L207" s="90"/>
      <c r="M207" s="90"/>
      <c r="N207" s="90"/>
      <c r="O207" s="90"/>
      <c r="P207" s="83"/>
      <c r="Q207" s="42"/>
      <c r="T207" s="230"/>
      <c r="U207" s="489"/>
      <c r="V207" s="489"/>
    </row>
    <row r="208" spans="1:22" ht="12.75" customHeight="1" x14ac:dyDescent="0.25">
      <c r="A208" s="374" t="s">
        <v>154</v>
      </c>
      <c r="B208" s="375"/>
      <c r="C208" s="376"/>
      <c r="D208" s="377">
        <f>+D183+D193+D204</f>
        <v>0</v>
      </c>
      <c r="E208" s="377">
        <f t="shared" ref="E208:N208" si="54">+E183+E193+E204</f>
        <v>0</v>
      </c>
      <c r="F208" s="377">
        <f t="shared" si="54"/>
        <v>0</v>
      </c>
      <c r="G208" s="377">
        <f t="shared" si="54"/>
        <v>0</v>
      </c>
      <c r="H208" s="377">
        <f t="shared" si="54"/>
        <v>0</v>
      </c>
      <c r="I208" s="377">
        <f t="shared" si="54"/>
        <v>0</v>
      </c>
      <c r="J208" s="377">
        <f t="shared" si="54"/>
        <v>0</v>
      </c>
      <c r="K208" s="377">
        <f t="shared" si="54"/>
        <v>0</v>
      </c>
      <c r="L208" s="377">
        <f t="shared" si="54"/>
        <v>0</v>
      </c>
      <c r="M208" s="377">
        <f t="shared" si="54"/>
        <v>0</v>
      </c>
      <c r="N208" s="377">
        <f t="shared" si="54"/>
        <v>0</v>
      </c>
      <c r="O208" s="377">
        <f>+O183+O193+O204</f>
        <v>0</v>
      </c>
      <c r="P208" s="377">
        <f>+P183+P193+P204</f>
        <v>0</v>
      </c>
      <c r="Q208" s="99"/>
      <c r="R208" s="166"/>
      <c r="T208" s="176"/>
      <c r="U208" s="486"/>
      <c r="V208" s="486"/>
    </row>
    <row r="209" spans="1:22" ht="12.75" customHeight="1" x14ac:dyDescent="0.25">
      <c r="A209" s="378" t="s">
        <v>216</v>
      </c>
      <c r="B209" s="375"/>
      <c r="C209" s="376"/>
      <c r="D209" s="379"/>
      <c r="E209" s="379"/>
      <c r="F209" s="379"/>
      <c r="G209" s="379"/>
      <c r="H209" s="379"/>
      <c r="I209" s="379"/>
      <c r="J209" s="379"/>
      <c r="K209" s="379"/>
      <c r="L209" s="379"/>
      <c r="M209" s="379"/>
      <c r="N209" s="379"/>
      <c r="O209" s="379"/>
      <c r="P209" s="100"/>
      <c r="Q209" s="101">
        <f>+Q184</f>
        <v>0</v>
      </c>
      <c r="R209" s="166"/>
      <c r="T209" s="176"/>
      <c r="U209" s="486"/>
      <c r="V209" s="486"/>
    </row>
    <row r="210" spans="1:22" ht="15" customHeight="1" x14ac:dyDescent="0.25">
      <c r="A210" s="374" t="s">
        <v>217</v>
      </c>
      <c r="B210" s="375"/>
      <c r="C210" s="376"/>
      <c r="D210" s="377">
        <f>SUM(D208:D209)</f>
        <v>0</v>
      </c>
      <c r="E210" s="377">
        <f t="shared" ref="E210:O210" si="55">SUM(E208:E209)</f>
        <v>0</v>
      </c>
      <c r="F210" s="377">
        <f t="shared" si="55"/>
        <v>0</v>
      </c>
      <c r="G210" s="377">
        <f t="shared" si="55"/>
        <v>0</v>
      </c>
      <c r="H210" s="377">
        <f t="shared" si="55"/>
        <v>0</v>
      </c>
      <c r="I210" s="377">
        <f t="shared" si="55"/>
        <v>0</v>
      </c>
      <c r="J210" s="377">
        <f t="shared" si="55"/>
        <v>0</v>
      </c>
      <c r="K210" s="377">
        <f t="shared" si="55"/>
        <v>0</v>
      </c>
      <c r="L210" s="377">
        <f t="shared" si="55"/>
        <v>0</v>
      </c>
      <c r="M210" s="377">
        <f t="shared" si="55"/>
        <v>0</v>
      </c>
      <c r="N210" s="377">
        <f t="shared" si="55"/>
        <v>0</v>
      </c>
      <c r="O210" s="377">
        <f t="shared" si="55"/>
        <v>0</v>
      </c>
      <c r="P210" s="102">
        <f>+P208</f>
        <v>0</v>
      </c>
      <c r="Q210" s="103">
        <f>+Q209</f>
        <v>0</v>
      </c>
      <c r="R210" s="166"/>
      <c r="T210" s="176"/>
      <c r="U210" s="486"/>
      <c r="V210" s="486"/>
    </row>
    <row r="211" spans="1:22" s="156" customFormat="1" ht="14.25" customHeight="1" x14ac:dyDescent="0.25">
      <c r="A211" s="380"/>
      <c r="B211" s="381"/>
      <c r="C211" s="381"/>
      <c r="D211" s="89"/>
      <c r="E211" s="89"/>
      <c r="F211" s="89"/>
      <c r="G211" s="89"/>
      <c r="H211" s="89"/>
      <c r="I211" s="89"/>
      <c r="J211" s="89"/>
      <c r="K211" s="89"/>
      <c r="L211" s="89"/>
      <c r="M211" s="89"/>
      <c r="N211" s="89"/>
      <c r="O211" s="89"/>
      <c r="P211" s="88"/>
      <c r="Q211" s="89"/>
      <c r="T211" s="230"/>
      <c r="U211" s="489"/>
      <c r="V211" s="489"/>
    </row>
    <row r="212" spans="1:22" ht="6" customHeight="1" x14ac:dyDescent="0.25">
      <c r="A212" s="319"/>
      <c r="B212" s="382"/>
      <c r="C212" s="382"/>
      <c r="D212" s="3"/>
      <c r="E212" s="3"/>
      <c r="F212" s="3"/>
      <c r="G212" s="3"/>
      <c r="H212" s="3"/>
      <c r="I212" s="3"/>
      <c r="J212" s="3"/>
      <c r="K212" s="3"/>
      <c r="L212" s="3"/>
      <c r="M212" s="3"/>
      <c r="N212" s="3"/>
      <c r="O212" s="3"/>
      <c r="P212" s="4"/>
      <c r="Q212" s="50"/>
      <c r="T212" s="176"/>
      <c r="U212" s="486"/>
      <c r="V212" s="486"/>
    </row>
    <row r="213" spans="1:22" ht="12" customHeight="1" x14ac:dyDescent="0.25">
      <c r="A213" s="343"/>
      <c r="B213" s="361"/>
      <c r="C213" s="361"/>
      <c r="D213" s="8"/>
      <c r="E213" s="8"/>
      <c r="F213" s="8"/>
      <c r="G213" s="8"/>
      <c r="H213" s="8"/>
      <c r="I213" s="8"/>
      <c r="J213" s="8"/>
      <c r="K213" s="8"/>
      <c r="L213" s="8"/>
      <c r="M213" s="8"/>
      <c r="N213" s="8"/>
      <c r="O213" s="8"/>
      <c r="P213" s="1"/>
      <c r="Q213" s="6"/>
      <c r="T213" s="176"/>
      <c r="U213" s="486"/>
      <c r="V213" s="486"/>
    </row>
    <row r="214" spans="1:22" ht="19.8" customHeight="1" x14ac:dyDescent="0.25">
      <c r="A214" s="383" t="s">
        <v>192</v>
      </c>
      <c r="B214" s="384"/>
      <c r="C214" s="384"/>
      <c r="D214" s="26">
        <f>D208</f>
        <v>0</v>
      </c>
      <c r="E214" s="26">
        <f t="shared" ref="E214:O214" si="56">E208</f>
        <v>0</v>
      </c>
      <c r="F214" s="26">
        <f t="shared" si="56"/>
        <v>0</v>
      </c>
      <c r="G214" s="26">
        <f t="shared" si="56"/>
        <v>0</v>
      </c>
      <c r="H214" s="26">
        <f t="shared" si="56"/>
        <v>0</v>
      </c>
      <c r="I214" s="26">
        <f t="shared" si="56"/>
        <v>0</v>
      </c>
      <c r="J214" s="26">
        <f t="shared" si="56"/>
        <v>0</v>
      </c>
      <c r="K214" s="26">
        <f t="shared" si="56"/>
        <v>0</v>
      </c>
      <c r="L214" s="26">
        <f t="shared" si="56"/>
        <v>0</v>
      </c>
      <c r="M214" s="26">
        <f t="shared" si="56"/>
        <v>0</v>
      </c>
      <c r="N214" s="26">
        <f t="shared" si="56"/>
        <v>0</v>
      </c>
      <c r="O214" s="26">
        <f t="shared" si="56"/>
        <v>0</v>
      </c>
      <c r="P214" s="27">
        <f>IF(Parametros!B13="Anual",P183+P103+P113,P183+P193+P204)</f>
        <v>0</v>
      </c>
      <c r="Q214" s="124" t="str">
        <f>IF(Parametros!B13="Anual","Reemplazo del SAC Bruto prorrateado 12va parte por el SAC bruto real.","El reemplazo x el SAC grav Real se hizo en junio y diciembre.")</f>
        <v>El reemplazo x el SAC grav Real se hizo en junio y diciembre.</v>
      </c>
      <c r="T214" s="246">
        <f>+P214</f>
        <v>0</v>
      </c>
      <c r="U214" s="486" t="s">
        <v>154</v>
      </c>
      <c r="V214" s="486"/>
    </row>
    <row r="215" spans="1:22" ht="19.8" customHeight="1" x14ac:dyDescent="0.25">
      <c r="A215" s="665" t="s">
        <v>393</v>
      </c>
      <c r="B215" s="666"/>
      <c r="C215" s="666"/>
      <c r="D215" s="667">
        <f>D214</f>
        <v>0</v>
      </c>
      <c r="E215" s="667">
        <f>E214+D215</f>
        <v>0</v>
      </c>
      <c r="F215" s="667">
        <f t="shared" ref="F215:O215" si="57">F214+E215</f>
        <v>0</v>
      </c>
      <c r="G215" s="667">
        <f t="shared" si="57"/>
        <v>0</v>
      </c>
      <c r="H215" s="667">
        <f t="shared" si="57"/>
        <v>0</v>
      </c>
      <c r="I215" s="667">
        <f t="shared" si="57"/>
        <v>0</v>
      </c>
      <c r="J215" s="667">
        <f t="shared" si="57"/>
        <v>0</v>
      </c>
      <c r="K215" s="667">
        <f t="shared" si="57"/>
        <v>0</v>
      </c>
      <c r="L215" s="667">
        <f t="shared" si="57"/>
        <v>0</v>
      </c>
      <c r="M215" s="667">
        <f t="shared" si="57"/>
        <v>0</v>
      </c>
      <c r="N215" s="667">
        <f t="shared" si="57"/>
        <v>0</v>
      </c>
      <c r="O215" s="667">
        <f t="shared" si="57"/>
        <v>0</v>
      </c>
      <c r="P215" s="668"/>
      <c r="Q215" s="124" t="str">
        <f>IF(Parametros!B14="Anual","Reemplazo del SAC Bruto prorrateado 12va parte por el SAC bruto real.","El reemplazo x el SAC grav Real se hizo en junio y diciembre.")</f>
        <v>El reemplazo x el SAC grav Real se hizo en junio y diciembre.</v>
      </c>
      <c r="T215" s="246">
        <f>+P215</f>
        <v>0</v>
      </c>
      <c r="U215" s="486" t="s">
        <v>154</v>
      </c>
      <c r="V215" s="486"/>
    </row>
    <row r="216" spans="1:22" ht="12.6" customHeight="1" x14ac:dyDescent="0.25">
      <c r="A216" s="343"/>
      <c r="B216" s="361"/>
      <c r="C216" s="361"/>
      <c r="D216" s="8"/>
      <c r="E216" s="8"/>
      <c r="F216" s="8"/>
      <c r="G216" s="8"/>
      <c r="H216" s="8"/>
      <c r="I216" s="8"/>
      <c r="J216" s="8"/>
      <c r="K216" s="8"/>
      <c r="L216" s="8"/>
      <c r="M216" s="8"/>
      <c r="N216" s="8"/>
      <c r="O216" s="8"/>
      <c r="P216" s="1"/>
      <c r="Q216" s="6"/>
      <c r="T216" s="247">
        <f>+Q184+Q104+Q113</f>
        <v>0</v>
      </c>
      <c r="U216" s="488" t="s">
        <v>155</v>
      </c>
      <c r="V216" s="488" t="s">
        <v>235</v>
      </c>
    </row>
    <row r="217" spans="1:22" ht="20.399999999999999" customHeight="1" x14ac:dyDescent="0.25">
      <c r="A217" s="385" t="s">
        <v>67</v>
      </c>
      <c r="B217" s="386"/>
      <c r="C217" s="386"/>
      <c r="D217" s="386"/>
      <c r="E217" s="386"/>
      <c r="F217" s="386"/>
      <c r="G217" s="386"/>
      <c r="H217" s="386"/>
      <c r="I217" s="386"/>
      <c r="J217" s="386"/>
      <c r="K217" s="386"/>
      <c r="L217" s="386"/>
      <c r="M217" s="386"/>
      <c r="N217" s="386"/>
      <c r="O217" s="664"/>
      <c r="P217" s="458"/>
      <c r="Q217" s="6"/>
      <c r="T217" s="248">
        <f>+SUM(T214:T216)</f>
        <v>0</v>
      </c>
      <c r="U217" s="490" t="s">
        <v>156</v>
      </c>
      <c r="V217" s="486"/>
    </row>
    <row r="218" spans="1:22" ht="15" customHeight="1" x14ac:dyDescent="0.25">
      <c r="A218" s="387" t="s">
        <v>221</v>
      </c>
      <c r="B218" s="160"/>
      <c r="C218" s="195"/>
      <c r="D218" s="249">
        <f t="shared" ref="D218:O218" si="58">SUMIFS(D124:D155,$C124:$C155,"R")</f>
        <v>0</v>
      </c>
      <c r="E218" s="249">
        <f t="shared" si="58"/>
        <v>0</v>
      </c>
      <c r="F218" s="249">
        <f t="shared" si="58"/>
        <v>0</v>
      </c>
      <c r="G218" s="249">
        <f t="shared" si="58"/>
        <v>0</v>
      </c>
      <c r="H218" s="249">
        <f t="shared" si="58"/>
        <v>0</v>
      </c>
      <c r="I218" s="249">
        <f t="shared" si="58"/>
        <v>0</v>
      </c>
      <c r="J218" s="249">
        <f t="shared" si="58"/>
        <v>0</v>
      </c>
      <c r="K218" s="249">
        <f t="shared" si="58"/>
        <v>0</v>
      </c>
      <c r="L218" s="249">
        <f t="shared" si="58"/>
        <v>0</v>
      </c>
      <c r="M218" s="249">
        <f t="shared" si="58"/>
        <v>0</v>
      </c>
      <c r="N218" s="249">
        <f t="shared" si="58"/>
        <v>0</v>
      </c>
      <c r="O218" s="249">
        <f t="shared" si="58"/>
        <v>0</v>
      </c>
      <c r="P218" s="1"/>
      <c r="Q218" s="6"/>
      <c r="T218" s="176"/>
      <c r="U218" s="486"/>
      <c r="V218" s="486"/>
    </row>
    <row r="219" spans="1:22" ht="15" customHeight="1" x14ac:dyDescent="0.25">
      <c r="A219" s="387" t="s">
        <v>219</v>
      </c>
      <c r="B219" s="160"/>
      <c r="C219" s="195"/>
      <c r="D219" s="249">
        <f t="shared" ref="D219:O219" si="59">+D84</f>
        <v>1157112.83</v>
      </c>
      <c r="E219" s="249">
        <f t="shared" si="59"/>
        <v>1157112.83</v>
      </c>
      <c r="F219" s="249">
        <f t="shared" si="59"/>
        <v>1471616.1</v>
      </c>
      <c r="G219" s="249">
        <f t="shared" si="59"/>
        <v>1874838.91</v>
      </c>
      <c r="H219" s="249">
        <f t="shared" si="59"/>
        <v>2081258.6700000002</v>
      </c>
      <c r="I219" s="249">
        <f t="shared" si="59"/>
        <v>2265033.81</v>
      </c>
      <c r="J219" s="249">
        <f t="shared" si="59"/>
        <v>2359712.2200000002</v>
      </c>
      <c r="K219" s="249">
        <f t="shared" si="59"/>
        <v>2467787.04</v>
      </c>
      <c r="L219" s="249">
        <f t="shared" si="59"/>
        <v>2567238.86</v>
      </c>
      <c r="M219" s="249">
        <f t="shared" si="59"/>
        <v>2674292.7200000002</v>
      </c>
      <c r="N219" s="249">
        <f t="shared" si="59"/>
        <v>2674292.7200000002</v>
      </c>
      <c r="O219" s="249">
        <f t="shared" si="59"/>
        <v>2674292.7200000002</v>
      </c>
      <c r="P219" s="1"/>
      <c r="Q219" s="6"/>
      <c r="T219" s="176"/>
      <c r="U219" s="486"/>
      <c r="V219" s="486"/>
    </row>
    <row r="220" spans="1:22" ht="15" customHeight="1" x14ac:dyDescent="0.25">
      <c r="A220" s="387" t="s">
        <v>220</v>
      </c>
      <c r="B220" s="160"/>
      <c r="C220" s="195"/>
      <c r="D220" s="388">
        <f>+MIN(D218:D219)</f>
        <v>0</v>
      </c>
      <c r="E220" s="388">
        <f t="shared" ref="E220:O220" si="60">+MIN(E218:E219)</f>
        <v>0</v>
      </c>
      <c r="F220" s="388">
        <f t="shared" si="60"/>
        <v>0</v>
      </c>
      <c r="G220" s="388">
        <f t="shared" si="60"/>
        <v>0</v>
      </c>
      <c r="H220" s="388">
        <f t="shared" si="60"/>
        <v>0</v>
      </c>
      <c r="I220" s="388">
        <f t="shared" si="60"/>
        <v>0</v>
      </c>
      <c r="J220" s="388">
        <f t="shared" si="60"/>
        <v>0</v>
      </c>
      <c r="K220" s="388">
        <f t="shared" si="60"/>
        <v>0</v>
      </c>
      <c r="L220" s="388">
        <f t="shared" si="60"/>
        <v>0</v>
      </c>
      <c r="M220" s="388">
        <f t="shared" si="60"/>
        <v>0</v>
      </c>
      <c r="N220" s="388">
        <f t="shared" si="60"/>
        <v>0</v>
      </c>
      <c r="O220" s="388">
        <f t="shared" si="60"/>
        <v>0</v>
      </c>
      <c r="P220" s="1"/>
      <c r="Q220" s="6"/>
      <c r="T220" s="176"/>
      <c r="U220" s="486"/>
      <c r="V220" s="486"/>
    </row>
    <row r="221" spans="1:22" ht="15" customHeight="1" x14ac:dyDescent="0.25">
      <c r="A221" s="250"/>
      <c r="B221" s="160"/>
      <c r="C221" s="195"/>
      <c r="D221" s="224"/>
      <c r="E221" s="224"/>
      <c r="F221" s="224"/>
      <c r="G221" s="224"/>
      <c r="H221" s="224"/>
      <c r="I221" s="224"/>
      <c r="J221" s="224"/>
      <c r="K221" s="224"/>
      <c r="L221" s="224"/>
      <c r="M221" s="224"/>
      <c r="N221" s="224"/>
      <c r="O221" s="224"/>
      <c r="P221" s="1"/>
      <c r="Q221" s="6"/>
      <c r="T221" s="176"/>
      <c r="U221" s="486"/>
      <c r="V221" s="486"/>
    </row>
    <row r="222" spans="1:22" ht="12.6" customHeight="1" x14ac:dyDescent="0.25">
      <c r="A222" s="56" t="str">
        <f>+A86</f>
        <v>Jubilación</v>
      </c>
      <c r="B222" s="62"/>
      <c r="C222" s="206"/>
      <c r="D222" s="122">
        <f>+D$220*Tablas!D37+D194</f>
        <v>0</v>
      </c>
      <c r="E222" s="122">
        <f>+E$220*Tablas!E37+E194</f>
        <v>0</v>
      </c>
      <c r="F222" s="122">
        <f>+F$220*Tablas!F37+F194</f>
        <v>0</v>
      </c>
      <c r="G222" s="122">
        <f>+G$220*Tablas!G37+G194</f>
        <v>0</v>
      </c>
      <c r="H222" s="122">
        <f>+H$220*Tablas!H37+H194</f>
        <v>0</v>
      </c>
      <c r="I222" s="122">
        <f>+I$220*Tablas!I37+I194</f>
        <v>0</v>
      </c>
      <c r="J222" s="122">
        <f>+J$220*Tablas!J37+J194</f>
        <v>0</v>
      </c>
      <c r="K222" s="122">
        <f>+K$220*Tablas!K37+K194</f>
        <v>0</v>
      </c>
      <c r="L222" s="122">
        <f>+L$220*Tablas!L37+L194</f>
        <v>0</v>
      </c>
      <c r="M222" s="122">
        <f>+M$220*Tablas!M37+M194</f>
        <v>0</v>
      </c>
      <c r="N222" s="122">
        <f>+N$220*Tablas!N37+N194</f>
        <v>0</v>
      </c>
      <c r="O222" s="122">
        <f>+O$220*Tablas!O37+O194</f>
        <v>0</v>
      </c>
      <c r="P222" s="459">
        <f>IF(Parametros!$B$13="Anual",SUM(D222:O222)-P194+I374+O374,SUM(D222:O222))</f>
        <v>0</v>
      </c>
      <c r="Q222" s="522" t="str">
        <f>IF(Parametros!$B$13="Anual","Reemplazo de los aportes del SAC real x el del SAC prorrateado.","El reemplazo x el SAC grav Real se hizo en junio y diciembre.")</f>
        <v>El reemplazo x el SAC grav Real se hizo en junio y diciembre.</v>
      </c>
      <c r="T222" s="222">
        <f>+P222</f>
        <v>0</v>
      </c>
      <c r="U222" s="491" t="s">
        <v>255</v>
      </c>
      <c r="V222" s="486"/>
    </row>
    <row r="223" spans="1:22" ht="12.6" customHeight="1" x14ac:dyDescent="0.25">
      <c r="A223" s="56" t="s">
        <v>193</v>
      </c>
      <c r="B223" s="62"/>
      <c r="C223" s="206"/>
      <c r="D223" s="122">
        <f t="shared" ref="D223:O223" si="61">+D94</f>
        <v>0</v>
      </c>
      <c r="E223" s="122">
        <f t="shared" si="61"/>
        <v>0</v>
      </c>
      <c r="F223" s="122">
        <f t="shared" si="61"/>
        <v>0</v>
      </c>
      <c r="G223" s="122">
        <f t="shared" si="61"/>
        <v>0</v>
      </c>
      <c r="H223" s="122">
        <f t="shared" si="61"/>
        <v>0</v>
      </c>
      <c r="I223" s="122">
        <f t="shared" si="61"/>
        <v>0</v>
      </c>
      <c r="J223" s="122">
        <f t="shared" si="61"/>
        <v>0</v>
      </c>
      <c r="K223" s="122">
        <f t="shared" si="61"/>
        <v>0</v>
      </c>
      <c r="L223" s="122">
        <f t="shared" si="61"/>
        <v>0</v>
      </c>
      <c r="M223" s="122">
        <f t="shared" si="61"/>
        <v>0</v>
      </c>
      <c r="N223" s="122">
        <f t="shared" si="61"/>
        <v>0</v>
      </c>
      <c r="O223" s="122">
        <f t="shared" si="61"/>
        <v>0</v>
      </c>
      <c r="P223" s="459">
        <f>SUM(D223:O223)</f>
        <v>0</v>
      </c>
      <c r="Q223" s="460"/>
      <c r="T223" s="222">
        <f t="shared" ref="T223:T249" si="62">+P223</f>
        <v>0</v>
      </c>
      <c r="U223" s="491" t="s">
        <v>256</v>
      </c>
      <c r="V223" s="486"/>
    </row>
    <row r="224" spans="1:22" ht="12.6" customHeight="1" x14ac:dyDescent="0.25">
      <c r="A224" s="56" t="str">
        <f>+A87</f>
        <v>INSSJP</v>
      </c>
      <c r="B224" s="62"/>
      <c r="C224" s="206"/>
      <c r="D224" s="122">
        <f>+D$220*Tablas!D38+D195</f>
        <v>0</v>
      </c>
      <c r="E224" s="122">
        <f>+E$220*Tablas!E38+E195</f>
        <v>0</v>
      </c>
      <c r="F224" s="122">
        <f>+F$220*Tablas!F38+F195</f>
        <v>0</v>
      </c>
      <c r="G224" s="122">
        <f>+G$220*Tablas!G38+G195</f>
        <v>0</v>
      </c>
      <c r="H224" s="122">
        <f>+H$220*Tablas!H38+H195</f>
        <v>0</v>
      </c>
      <c r="I224" s="122">
        <f>+I$220*Tablas!I38+I195</f>
        <v>0</v>
      </c>
      <c r="J224" s="122">
        <f>+J$220*Tablas!J38+J195</f>
        <v>0</v>
      </c>
      <c r="K224" s="122">
        <f>+K$220*Tablas!K38+K195</f>
        <v>0</v>
      </c>
      <c r="L224" s="122">
        <f>+L$220*Tablas!L38+L195</f>
        <v>0</v>
      </c>
      <c r="M224" s="122">
        <f>+M$220*Tablas!M38+M195</f>
        <v>0</v>
      </c>
      <c r="N224" s="122">
        <f>+N$220*Tablas!N38+N195</f>
        <v>0</v>
      </c>
      <c r="O224" s="122">
        <f>+O$220*Tablas!O38+O195</f>
        <v>0</v>
      </c>
      <c r="P224" s="459">
        <f>IF(Parametros!$B$13="Anual",SUM(D224:O224)-P195+I375+O375,SUM(D224:O224))</f>
        <v>0</v>
      </c>
      <c r="Q224" s="522" t="str">
        <f>IF(Parametros!$B$13="Anual","Reemplazo de los aportes del SAC real x el del SAC prorrateado.","El reemplazo x el SAC grav Real se hizo en junio y diciembre.")</f>
        <v>El reemplazo x el SAC grav Real se hizo en junio y diciembre.</v>
      </c>
      <c r="T224" s="222">
        <f t="shared" si="62"/>
        <v>0</v>
      </c>
      <c r="U224" s="491" t="s">
        <v>255</v>
      </c>
      <c r="V224" s="486"/>
    </row>
    <row r="225" spans="1:22" ht="12.6" customHeight="1" x14ac:dyDescent="0.25">
      <c r="A225" s="56" t="str">
        <f>+A88</f>
        <v>Obra Social</v>
      </c>
      <c r="B225" s="62"/>
      <c r="C225" s="206"/>
      <c r="D225" s="122">
        <f>+D$220*Tablas!D39+D196</f>
        <v>0</v>
      </c>
      <c r="E225" s="122">
        <f>+E$220*Tablas!E39+E196</f>
        <v>0</v>
      </c>
      <c r="F225" s="122">
        <f>+F$220*Tablas!F39+F196</f>
        <v>0</v>
      </c>
      <c r="G225" s="122">
        <f>+G$220*Tablas!G39+G196</f>
        <v>0</v>
      </c>
      <c r="H225" s="122">
        <f>+H$220*Tablas!H39+H196</f>
        <v>0</v>
      </c>
      <c r="I225" s="122">
        <f>+I$220*Tablas!I39+I196</f>
        <v>0</v>
      </c>
      <c r="J225" s="122">
        <f>+J$220*Tablas!J39+J196</f>
        <v>0</v>
      </c>
      <c r="K225" s="122">
        <f>+K$220*Tablas!K39+K196</f>
        <v>0</v>
      </c>
      <c r="L225" s="122">
        <f>+L$220*Tablas!L39+L196</f>
        <v>0</v>
      </c>
      <c r="M225" s="122">
        <f>+M$220*Tablas!M39+M196</f>
        <v>0</v>
      </c>
      <c r="N225" s="122">
        <f>+N$220*Tablas!N39+N196</f>
        <v>0</v>
      </c>
      <c r="O225" s="122">
        <f>+O$220*Tablas!O39+O196</f>
        <v>0</v>
      </c>
      <c r="P225" s="459">
        <f>IF(Parametros!$B$13="Anual",SUM(D225:O225)-P196+I376+O376,SUM(D225:O225))</f>
        <v>0</v>
      </c>
      <c r="Q225" s="522" t="str">
        <f>IF(Parametros!$B$13="Anual","Reemplazo de los aportes del SAC real x el del SAC prorrateado.","El reemplazo x el SAC grav Real se hizo en junio y diciembre.")</f>
        <v>El reemplazo x el SAC grav Real se hizo en junio y diciembre.</v>
      </c>
      <c r="T225" s="222">
        <f t="shared" si="62"/>
        <v>0</v>
      </c>
      <c r="U225" s="486" t="s">
        <v>257</v>
      </c>
      <c r="V225" s="486"/>
    </row>
    <row r="226" spans="1:22" ht="12.6" customHeight="1" x14ac:dyDescent="0.25">
      <c r="A226" s="56" t="s">
        <v>194</v>
      </c>
      <c r="B226" s="62"/>
      <c r="C226" s="206"/>
      <c r="D226" s="86">
        <f t="shared" ref="D226:O226" si="63">+D95</f>
        <v>0</v>
      </c>
      <c r="E226" s="86">
        <f t="shared" si="63"/>
        <v>0</v>
      </c>
      <c r="F226" s="86">
        <f t="shared" si="63"/>
        <v>0</v>
      </c>
      <c r="G226" s="86">
        <f t="shared" si="63"/>
        <v>0</v>
      </c>
      <c r="H226" s="86">
        <f t="shared" si="63"/>
        <v>0</v>
      </c>
      <c r="I226" s="86">
        <f t="shared" si="63"/>
        <v>0</v>
      </c>
      <c r="J226" s="86">
        <f t="shared" si="63"/>
        <v>0</v>
      </c>
      <c r="K226" s="86">
        <f t="shared" si="63"/>
        <v>0</v>
      </c>
      <c r="L226" s="86">
        <f t="shared" si="63"/>
        <v>0</v>
      </c>
      <c r="M226" s="86">
        <f t="shared" si="63"/>
        <v>0</v>
      </c>
      <c r="N226" s="86">
        <f t="shared" si="63"/>
        <v>0</v>
      </c>
      <c r="O226" s="86">
        <f t="shared" si="63"/>
        <v>0</v>
      </c>
      <c r="P226" s="459">
        <f>SUM(D226:O226)</f>
        <v>0</v>
      </c>
      <c r="Q226" s="522"/>
      <c r="T226" s="222">
        <f t="shared" si="62"/>
        <v>0</v>
      </c>
      <c r="U226" s="486" t="s">
        <v>258</v>
      </c>
      <c r="V226" s="486"/>
    </row>
    <row r="227" spans="1:22" ht="12.6" customHeight="1" x14ac:dyDescent="0.25">
      <c r="A227" s="56" t="str">
        <f>+A89</f>
        <v>Sindicato</v>
      </c>
      <c r="B227" s="62"/>
      <c r="C227" s="206"/>
      <c r="D227" s="86">
        <f>+D$218*Tablas!D40+D197</f>
        <v>0</v>
      </c>
      <c r="E227" s="86">
        <f>+E$218*Tablas!E40+E197</f>
        <v>0</v>
      </c>
      <c r="F227" s="86">
        <f>+F$218*Tablas!F40+F197</f>
        <v>0</v>
      </c>
      <c r="G227" s="86">
        <f>+G$218*Tablas!G40+G197</f>
        <v>0</v>
      </c>
      <c r="H227" s="86">
        <f>+H$218*Tablas!H40+H197</f>
        <v>0</v>
      </c>
      <c r="I227" s="86">
        <f>+I$218*Tablas!I40+I197</f>
        <v>0</v>
      </c>
      <c r="J227" s="86">
        <f>+J$218*Tablas!J40+J197</f>
        <v>0</v>
      </c>
      <c r="K227" s="86">
        <f>+K$218*Tablas!K40+K197</f>
        <v>0</v>
      </c>
      <c r="L227" s="86">
        <f>+L$218*Tablas!L40+L197</f>
        <v>0</v>
      </c>
      <c r="M227" s="86">
        <f>+M$218*Tablas!M40+M197</f>
        <v>0</v>
      </c>
      <c r="N227" s="86">
        <f>+N$218*Tablas!N40+N197</f>
        <v>0</v>
      </c>
      <c r="O227" s="86">
        <f>+O$218*Tablas!O40+O197</f>
        <v>0</v>
      </c>
      <c r="P227" s="459">
        <f>IF(Parametros!$B$13="Anual",SUM(D227:O227)-P197+I377+O377,SUM(D227:O227))</f>
        <v>0</v>
      </c>
      <c r="Q227" s="522" t="str">
        <f>IF(Parametros!$B$13="Anual","Reemplazo de los aportes del SAC real x el del SAC prorrateado.","El reemplazo x el SAC grav Real se hizo en junio y diciembre.")</f>
        <v>El reemplazo x el SAC grav Real se hizo en junio y diciembre.</v>
      </c>
      <c r="T227" s="222">
        <f t="shared" si="62"/>
        <v>0</v>
      </c>
      <c r="U227" s="486" t="s">
        <v>259</v>
      </c>
      <c r="V227" s="486"/>
    </row>
    <row r="228" spans="1:22" ht="12.6" customHeight="1" x14ac:dyDescent="0.25">
      <c r="A228" s="56" t="s">
        <v>195</v>
      </c>
      <c r="B228" s="62"/>
      <c r="C228" s="206"/>
      <c r="D228" s="86">
        <f t="shared" ref="D228:O228" si="64">+D96</f>
        <v>0</v>
      </c>
      <c r="E228" s="86">
        <f t="shared" si="64"/>
        <v>0</v>
      </c>
      <c r="F228" s="86">
        <f t="shared" si="64"/>
        <v>0</v>
      </c>
      <c r="G228" s="86">
        <f t="shared" si="64"/>
        <v>0</v>
      </c>
      <c r="H228" s="86">
        <f t="shared" si="64"/>
        <v>0</v>
      </c>
      <c r="I228" s="86">
        <f t="shared" si="64"/>
        <v>0</v>
      </c>
      <c r="J228" s="86">
        <f t="shared" si="64"/>
        <v>0</v>
      </c>
      <c r="K228" s="86">
        <f t="shared" si="64"/>
        <v>0</v>
      </c>
      <c r="L228" s="86">
        <f t="shared" si="64"/>
        <v>0</v>
      </c>
      <c r="M228" s="86">
        <f t="shared" si="64"/>
        <v>0</v>
      </c>
      <c r="N228" s="86">
        <f t="shared" si="64"/>
        <v>0</v>
      </c>
      <c r="O228" s="86">
        <f t="shared" si="64"/>
        <v>0</v>
      </c>
      <c r="P228" s="459">
        <f>SUM(D228:O228)</f>
        <v>0</v>
      </c>
      <c r="Q228" s="460"/>
      <c r="T228" s="222">
        <f t="shared" si="62"/>
        <v>0</v>
      </c>
      <c r="U228" s="486" t="s">
        <v>260</v>
      </c>
      <c r="V228" s="486"/>
    </row>
    <row r="229" spans="1:22" ht="12.6" customHeight="1" x14ac:dyDescent="0.25">
      <c r="A229" s="56" t="str">
        <f>+A90</f>
        <v>Otros descuentos (x Ej: importes fijos)</v>
      </c>
      <c r="B229" s="62"/>
      <c r="C229" s="62"/>
      <c r="D229" s="57">
        <f t="shared" ref="D229:O229" si="65">+D90+D198</f>
        <v>0</v>
      </c>
      <c r="E229" s="57">
        <f t="shared" si="65"/>
        <v>0</v>
      </c>
      <c r="F229" s="57">
        <f t="shared" si="65"/>
        <v>0</v>
      </c>
      <c r="G229" s="57">
        <f t="shared" si="65"/>
        <v>0</v>
      </c>
      <c r="H229" s="57">
        <f t="shared" si="65"/>
        <v>0</v>
      </c>
      <c r="I229" s="57">
        <f t="shared" si="65"/>
        <v>0</v>
      </c>
      <c r="J229" s="57">
        <f t="shared" si="65"/>
        <v>0</v>
      </c>
      <c r="K229" s="57">
        <f t="shared" si="65"/>
        <v>0</v>
      </c>
      <c r="L229" s="57">
        <f t="shared" si="65"/>
        <v>0</v>
      </c>
      <c r="M229" s="57">
        <f t="shared" si="65"/>
        <v>0</v>
      </c>
      <c r="N229" s="57">
        <f t="shared" si="65"/>
        <v>0</v>
      </c>
      <c r="O229" s="57">
        <f t="shared" si="65"/>
        <v>0</v>
      </c>
      <c r="P229" s="459">
        <f>IF(Parametros!$B$13="Anual",SUM(D229:O229)-P198+I378+O378,SUM(D229:O229))</f>
        <v>0</v>
      </c>
      <c r="Q229" s="522" t="str">
        <f>IF(Parametros!$B$13="Anual","Reemplazo de los aportes del SAC real x el del SAC prorrateado.","El reemplazo x el SAC grav Real se hizo en junio y diciembre.")</f>
        <v>El reemplazo x el SAC grav Real se hizo en junio y diciembre.</v>
      </c>
      <c r="T229" s="222">
        <f t="shared" si="62"/>
        <v>0</v>
      </c>
      <c r="U229" s="486" t="s">
        <v>259</v>
      </c>
      <c r="V229" s="486"/>
    </row>
    <row r="230" spans="1:22" ht="12.75" customHeight="1" x14ac:dyDescent="0.25">
      <c r="A230" s="56" t="s">
        <v>114</v>
      </c>
      <c r="B230" s="62"/>
      <c r="C230" s="62"/>
      <c r="D230" s="122">
        <f>+MIN(SUM(Deducciones!$D2:D2),Tablas!D$17)</f>
        <v>0</v>
      </c>
      <c r="E230" s="122">
        <f>+MIN(SUM(Deducciones!$D2:E2),Tablas!E$17)-SUM($D230:D230)</f>
        <v>0</v>
      </c>
      <c r="F230" s="122">
        <f>+MIN(SUM(Deducciones!$D2:F2),Tablas!F$17)-SUM($D230:E230)</f>
        <v>0</v>
      </c>
      <c r="G230" s="122">
        <f>+MIN(SUM(Deducciones!$D2:G2),Tablas!G$17)-SUM($D230:F230)</f>
        <v>0</v>
      </c>
      <c r="H230" s="122">
        <f>+MIN(SUM(Deducciones!$D2:H2),Tablas!H$17)-SUM($D230:G230)</f>
        <v>0</v>
      </c>
      <c r="I230" s="122">
        <f>+MIN(SUM(Deducciones!$D2:I2),Tablas!I$17)-SUM($D230:H230)</f>
        <v>0</v>
      </c>
      <c r="J230" s="122">
        <f>+MIN(SUM(Deducciones!$D2:J2),Tablas!J$17)-SUM($D230:I230)</f>
        <v>0</v>
      </c>
      <c r="K230" s="122">
        <f>+MIN(SUM(Deducciones!$D2:K2),Tablas!K$17)-SUM($D230:J230)</f>
        <v>0</v>
      </c>
      <c r="L230" s="122">
        <f>+MIN(SUM(Deducciones!$D2:L2),Tablas!L$17)-SUM($D230:K230)</f>
        <v>0</v>
      </c>
      <c r="M230" s="122">
        <f>+MIN(SUM(Deducciones!$D2:M2),Tablas!M$17)-SUM($D230:L230)</f>
        <v>0</v>
      </c>
      <c r="N230" s="122">
        <f>+MIN(SUM(Deducciones!$D2:N2),Tablas!N$17)-SUM($D230:M230)</f>
        <v>0</v>
      </c>
      <c r="O230" s="122">
        <f>+MIN(SUM(Deducciones!$D2:O2),Tablas!O$17)-SUM($D230:N230)</f>
        <v>0</v>
      </c>
      <c r="P230" s="459">
        <f>SUM(D230:O230)</f>
        <v>0</v>
      </c>
      <c r="Q230" s="460"/>
      <c r="T230" s="222">
        <f t="shared" si="62"/>
        <v>0</v>
      </c>
      <c r="U230" s="486" t="s">
        <v>273</v>
      </c>
      <c r="V230" s="486"/>
    </row>
    <row r="231" spans="1:22" ht="12.75" customHeight="1" x14ac:dyDescent="0.25">
      <c r="A231" s="56" t="s">
        <v>14</v>
      </c>
      <c r="B231" s="62"/>
      <c r="C231" s="62"/>
      <c r="D231" s="122">
        <f>+MIN(SUM(Deducciones!$D3:D3),Tablas!D$17)</f>
        <v>0</v>
      </c>
      <c r="E231" s="122">
        <f>+MIN(SUM(Deducciones!$D3:E3),Tablas!E$17)-SUM($D231:D231)</f>
        <v>0</v>
      </c>
      <c r="F231" s="122">
        <f>+MIN(SUM(Deducciones!$D3:F3),Tablas!F$17)-SUM($D231:E231)</f>
        <v>0</v>
      </c>
      <c r="G231" s="122">
        <f>+MIN(SUM(Deducciones!$D3:G3),Tablas!G$17)-SUM($D231:F231)</f>
        <v>0</v>
      </c>
      <c r="H231" s="122">
        <f>+MIN(SUM(Deducciones!$D3:H3),Tablas!H$17)-SUM($D231:G231)</f>
        <v>0</v>
      </c>
      <c r="I231" s="122">
        <f>+MIN(SUM(Deducciones!$D3:I3),Tablas!I$17)-SUM($D231:H231)</f>
        <v>0</v>
      </c>
      <c r="J231" s="122">
        <f>+MIN(SUM(Deducciones!$D3:J3),Tablas!J$17)-SUM($D231:I231)</f>
        <v>0</v>
      </c>
      <c r="K231" s="122">
        <f>+MIN(SUM(Deducciones!$D3:K3),Tablas!K$17)-SUM($D231:J231)</f>
        <v>0</v>
      </c>
      <c r="L231" s="122">
        <f>+MIN(SUM(Deducciones!$D3:L3),Tablas!L$17)-SUM($D231:K231)</f>
        <v>0</v>
      </c>
      <c r="M231" s="122">
        <f>+MIN(SUM(Deducciones!$D3:M3),Tablas!M$17)-SUM($D231:L231)</f>
        <v>0</v>
      </c>
      <c r="N231" s="122">
        <f>+MIN(SUM(Deducciones!$D3:N3),Tablas!N$17)-SUM($D231:M231)</f>
        <v>0</v>
      </c>
      <c r="O231" s="122">
        <f>+MIN(SUM(Deducciones!$D3:O3),Tablas!O$17)-SUM($D231:N231)</f>
        <v>0</v>
      </c>
      <c r="P231" s="459">
        <f>SUM(D231:O231)</f>
        <v>0</v>
      </c>
      <c r="Q231" s="460"/>
      <c r="T231" s="222">
        <f t="shared" si="62"/>
        <v>0</v>
      </c>
      <c r="U231" s="486" t="s">
        <v>274</v>
      </c>
      <c r="V231" s="486"/>
    </row>
    <row r="232" spans="1:22" ht="12.75" customHeight="1" x14ac:dyDescent="0.25">
      <c r="A232" s="56" t="s">
        <v>61</v>
      </c>
      <c r="B232" s="62"/>
      <c r="C232" s="62"/>
      <c r="D232" s="122">
        <f>+MIN(SUM(Deducciones!$D4:D4),Tablas!D$17*0.4)</f>
        <v>0</v>
      </c>
      <c r="E232" s="122">
        <f>+MIN(SUM(Deducciones!$D4:E4),Tablas!E$17*0.4)-SUM($D232:D232)</f>
        <v>0</v>
      </c>
      <c r="F232" s="122">
        <f>+MIN(SUM(Deducciones!$D4:F4),Tablas!F$17*0.4)-SUM($D232:E232)</f>
        <v>0</v>
      </c>
      <c r="G232" s="122">
        <f>+MIN(SUM(Deducciones!$D4:G4),Tablas!G$17*0.4)-SUM($D232:F232)</f>
        <v>0</v>
      </c>
      <c r="H232" s="122">
        <f>+MIN(SUM(Deducciones!$D4:H4),Tablas!H$17*0.4)-SUM($D232:G232)</f>
        <v>0</v>
      </c>
      <c r="I232" s="122">
        <f>+MIN(SUM(Deducciones!$D4:I4),Tablas!I$17*0.4)-SUM($D232:H232)</f>
        <v>0</v>
      </c>
      <c r="J232" s="122">
        <f>+MIN(SUM(Deducciones!$D4:J4),Tablas!J$17*0.4)-SUM($D232:I232)</f>
        <v>0</v>
      </c>
      <c r="K232" s="122">
        <f>+MIN(SUM(Deducciones!$D4:K4),Tablas!K$17*0.4)-SUM($D232:J232)</f>
        <v>0</v>
      </c>
      <c r="L232" s="122">
        <f>+MIN(SUM(Deducciones!$D4:L4),Tablas!L$17*0.4)-SUM($D232:K232)</f>
        <v>0</v>
      </c>
      <c r="M232" s="122">
        <f>+MIN(SUM(Deducciones!$D4:M4),Tablas!M$17*0.4)-SUM($D232:L232)</f>
        <v>0</v>
      </c>
      <c r="N232" s="122">
        <f>+MIN(SUM(Deducciones!$D4:N4),Tablas!N$17*0.4)-SUM($D232:M232)</f>
        <v>0</v>
      </c>
      <c r="O232" s="122">
        <f>+MIN(SUM(Deducciones!$D4:O4),Tablas!O$17*0.4)-SUM($D232:N232)</f>
        <v>0</v>
      </c>
      <c r="P232" s="459">
        <f>SUM(D232:O232)</f>
        <v>0</v>
      </c>
      <c r="Q232" s="460"/>
      <c r="T232" s="222">
        <f t="shared" si="62"/>
        <v>0</v>
      </c>
      <c r="U232" s="486" t="s">
        <v>276</v>
      </c>
      <c r="V232" s="486"/>
    </row>
    <row r="233" spans="1:22" ht="12.75" customHeight="1" x14ac:dyDescent="0.25">
      <c r="A233" s="56" t="s">
        <v>15</v>
      </c>
      <c r="B233" s="62"/>
      <c r="C233" s="62"/>
      <c r="D233" s="122">
        <f>+MIN(SUM(Deducciones!$D5:D5),Tablas!$P$6)</f>
        <v>0</v>
      </c>
      <c r="E233" s="122">
        <f>+MIN(SUM(Deducciones!$D5:E5),Tablas!$P$6)-SUM($D233:D233)</f>
        <v>0</v>
      </c>
      <c r="F233" s="122">
        <f>+MIN(SUM(Deducciones!$D5:F5),Tablas!$P$6)-SUM($D233:E233)</f>
        <v>0</v>
      </c>
      <c r="G233" s="122">
        <f>+MIN(SUM(Deducciones!$D5:G5),Tablas!$P$6)-SUM($D233:F233)</f>
        <v>0</v>
      </c>
      <c r="H233" s="122">
        <f>+MIN(SUM(Deducciones!$D5:H5),Tablas!$P$6)-SUM($D233:G233)</f>
        <v>0</v>
      </c>
      <c r="I233" s="122">
        <f>+MIN(SUM(Deducciones!$D5:I5),Tablas!$P$6)-SUM($D233:H233)</f>
        <v>0</v>
      </c>
      <c r="J233" s="122">
        <f>+MIN(SUM(Deducciones!$D5:J5),Tablas!$P$6)-SUM($D233:I233)</f>
        <v>0</v>
      </c>
      <c r="K233" s="122">
        <f>+MIN(SUM(Deducciones!$D5:K5),Tablas!$P$6)-SUM($D233:J233)</f>
        <v>0</v>
      </c>
      <c r="L233" s="122">
        <f>+MIN(SUM(Deducciones!$D5:L5),Tablas!$P$6)-SUM($D233:K233)</f>
        <v>0</v>
      </c>
      <c r="M233" s="122">
        <f>+MIN(SUM(Deducciones!$D5:M5),Tablas!$P$6)-SUM($D233:L233)</f>
        <v>0</v>
      </c>
      <c r="N233" s="122">
        <f>+MIN(SUM(Deducciones!$D5:N5),Tablas!$P$6)-SUM($D233:M233)</f>
        <v>0</v>
      </c>
      <c r="O233" s="122">
        <f>+MIN(SUM(Deducciones!$D5:O5),Tablas!$P$6)-SUM($D233:N233)</f>
        <v>0</v>
      </c>
      <c r="P233" s="459">
        <f>SUM(D233:O233)</f>
        <v>0</v>
      </c>
      <c r="Q233" s="460"/>
      <c r="T233" s="222">
        <f t="shared" si="62"/>
        <v>0</v>
      </c>
      <c r="U233" s="486" t="s">
        <v>271</v>
      </c>
      <c r="V233" s="486"/>
    </row>
    <row r="234" spans="1:22" ht="12.75" customHeight="1" x14ac:dyDescent="0.25">
      <c r="A234" s="525" t="s">
        <v>339</v>
      </c>
      <c r="B234" s="62"/>
      <c r="C234" s="62"/>
      <c r="D234" s="86">
        <v>0</v>
      </c>
      <c r="E234" s="86">
        <v>0</v>
      </c>
      <c r="F234" s="86">
        <v>0</v>
      </c>
      <c r="G234" s="86">
        <v>0</v>
      </c>
      <c r="H234" s="86">
        <v>0</v>
      </c>
      <c r="I234" s="86">
        <v>0</v>
      </c>
      <c r="J234" s="86">
        <v>0</v>
      </c>
      <c r="K234" s="86">
        <v>0</v>
      </c>
      <c r="L234" s="86">
        <v>0</v>
      </c>
      <c r="M234" s="86">
        <v>0</v>
      </c>
      <c r="N234" s="86">
        <v>0</v>
      </c>
      <c r="O234" s="86">
        <v>0</v>
      </c>
      <c r="P234" s="459">
        <f>MIN(Deducciones!$P6,Tablas!$P$3)</f>
        <v>0</v>
      </c>
      <c r="Q234" s="460"/>
      <c r="S234" s="236"/>
      <c r="T234" s="222">
        <f t="shared" si="62"/>
        <v>0</v>
      </c>
      <c r="U234" s="486" t="s">
        <v>262</v>
      </c>
      <c r="V234" s="486"/>
    </row>
    <row r="235" spans="1:22" ht="12.75" customHeight="1" x14ac:dyDescent="0.25">
      <c r="A235" s="525" t="s">
        <v>340</v>
      </c>
      <c r="B235" s="62"/>
      <c r="C235" s="62"/>
      <c r="D235" s="86">
        <v>0</v>
      </c>
      <c r="E235" s="86">
        <v>0</v>
      </c>
      <c r="F235" s="86">
        <v>0</v>
      </c>
      <c r="G235" s="86">
        <v>0</v>
      </c>
      <c r="H235" s="86">
        <v>0</v>
      </c>
      <c r="I235" s="86">
        <v>0</v>
      </c>
      <c r="J235" s="86">
        <v>0</v>
      </c>
      <c r="K235" s="86">
        <v>0</v>
      </c>
      <c r="L235" s="86">
        <v>0</v>
      </c>
      <c r="M235" s="86">
        <v>0</v>
      </c>
      <c r="N235" s="86">
        <v>0</v>
      </c>
      <c r="O235" s="86">
        <v>0</v>
      </c>
      <c r="P235" s="459">
        <f>MIN(Deducciones!$P7,Tablas!$P$3)</f>
        <v>0</v>
      </c>
      <c r="Q235" s="460"/>
      <c r="S235" s="236"/>
      <c r="T235" s="222">
        <f t="shared" si="62"/>
        <v>0</v>
      </c>
      <c r="U235" s="491" t="s">
        <v>263</v>
      </c>
      <c r="V235" s="486"/>
    </row>
    <row r="236" spans="1:22" ht="12.75" customHeight="1" x14ac:dyDescent="0.25">
      <c r="A236" s="525" t="s">
        <v>341</v>
      </c>
      <c r="B236" s="62"/>
      <c r="C236" s="62"/>
      <c r="D236" s="86">
        <v>0</v>
      </c>
      <c r="E236" s="86">
        <v>0</v>
      </c>
      <c r="F236" s="86">
        <v>0</v>
      </c>
      <c r="G236" s="86">
        <v>0</v>
      </c>
      <c r="H236" s="86">
        <v>0</v>
      </c>
      <c r="I236" s="86">
        <v>0</v>
      </c>
      <c r="J236" s="86">
        <v>0</v>
      </c>
      <c r="K236" s="86">
        <v>0</v>
      </c>
      <c r="L236" s="86">
        <v>0</v>
      </c>
      <c r="M236" s="86">
        <v>0</v>
      </c>
      <c r="N236" s="86">
        <v>0</v>
      </c>
      <c r="O236" s="86">
        <v>0</v>
      </c>
      <c r="P236" s="459">
        <f>MIN(Deducciones!$P8,Tablas!$P$3)</f>
        <v>0</v>
      </c>
      <c r="Q236" s="460"/>
      <c r="S236" s="236"/>
      <c r="T236" s="222">
        <f t="shared" si="62"/>
        <v>0</v>
      </c>
      <c r="U236" s="486" t="s">
        <v>265</v>
      </c>
      <c r="V236" s="486"/>
    </row>
    <row r="237" spans="1:22" ht="12.75" customHeight="1" x14ac:dyDescent="0.25">
      <c r="A237" s="525" t="s">
        <v>343</v>
      </c>
      <c r="B237" s="62"/>
      <c r="C237" s="62"/>
      <c r="D237" s="86">
        <v>0</v>
      </c>
      <c r="E237" s="86">
        <v>0</v>
      </c>
      <c r="F237" s="86">
        <v>0</v>
      </c>
      <c r="G237" s="86">
        <v>0</v>
      </c>
      <c r="H237" s="86">
        <v>0</v>
      </c>
      <c r="I237" s="86">
        <v>0</v>
      </c>
      <c r="J237" s="86">
        <v>0</v>
      </c>
      <c r="K237" s="86">
        <v>0</v>
      </c>
      <c r="L237" s="86">
        <v>0</v>
      </c>
      <c r="M237" s="86">
        <v>0</v>
      </c>
      <c r="N237" s="86">
        <v>0</v>
      </c>
      <c r="O237" s="86">
        <v>0</v>
      </c>
      <c r="P237" s="459">
        <f>MIN(Deducciones!$P9,Tablas!$P$3)</f>
        <v>0</v>
      </c>
      <c r="Q237" s="460"/>
      <c r="S237" s="236"/>
      <c r="T237" s="222">
        <f t="shared" si="62"/>
        <v>0</v>
      </c>
      <c r="U237" s="491" t="s">
        <v>264</v>
      </c>
      <c r="V237" s="486"/>
    </row>
    <row r="238" spans="1:22" ht="12.75" customHeight="1" x14ac:dyDescent="0.25">
      <c r="A238" s="56" t="s">
        <v>53</v>
      </c>
      <c r="B238" s="62"/>
      <c r="C238" s="62"/>
      <c r="D238" s="122">
        <f>+Deducciones!D10</f>
        <v>0</v>
      </c>
      <c r="E238" s="122">
        <f>+Deducciones!E10</f>
        <v>0</v>
      </c>
      <c r="F238" s="122">
        <f>+Deducciones!F10</f>
        <v>0</v>
      </c>
      <c r="G238" s="122">
        <f>+Deducciones!G10</f>
        <v>0</v>
      </c>
      <c r="H238" s="122">
        <f>+Deducciones!H10</f>
        <v>0</v>
      </c>
      <c r="I238" s="122">
        <f>+Deducciones!I10</f>
        <v>0</v>
      </c>
      <c r="J238" s="122">
        <f>+Deducciones!J10</f>
        <v>0</v>
      </c>
      <c r="K238" s="122">
        <f>+Deducciones!K10</f>
        <v>0</v>
      </c>
      <c r="L238" s="122">
        <f>+Deducciones!L10</f>
        <v>0</v>
      </c>
      <c r="M238" s="122">
        <f>+Deducciones!M10</f>
        <v>0</v>
      </c>
      <c r="N238" s="122">
        <f>+Deducciones!N10</f>
        <v>0</v>
      </c>
      <c r="O238" s="122">
        <f>+Deducciones!O10</f>
        <v>0</v>
      </c>
      <c r="P238" s="459">
        <f t="shared" ref="P238:P249" si="66">SUM(D238:O238)</f>
        <v>0</v>
      </c>
      <c r="Q238" s="460"/>
      <c r="S238" s="236"/>
      <c r="T238" s="222">
        <f t="shared" si="62"/>
        <v>0</v>
      </c>
      <c r="U238" s="486" t="s">
        <v>266</v>
      </c>
      <c r="V238" s="486"/>
    </row>
    <row r="239" spans="1:22" ht="12.75" customHeight="1" x14ac:dyDescent="0.25">
      <c r="A239" s="56" t="s">
        <v>84</v>
      </c>
      <c r="B239" s="62"/>
      <c r="C239" s="62"/>
      <c r="D239" s="122">
        <f>+Deducciones!D14</f>
        <v>0</v>
      </c>
      <c r="E239" s="122">
        <f>+Deducciones!E14</f>
        <v>0</v>
      </c>
      <c r="F239" s="122">
        <f>+Deducciones!F14</f>
        <v>0</v>
      </c>
      <c r="G239" s="122">
        <f>+Deducciones!G14</f>
        <v>0</v>
      </c>
      <c r="H239" s="122">
        <f>+Deducciones!H14</f>
        <v>0</v>
      </c>
      <c r="I239" s="122">
        <f>+Deducciones!I14</f>
        <v>0</v>
      </c>
      <c r="J239" s="122">
        <f>+Deducciones!J14</f>
        <v>0</v>
      </c>
      <c r="K239" s="122">
        <f>+Deducciones!K14</f>
        <v>0</v>
      </c>
      <c r="L239" s="122">
        <f>+Deducciones!L14</f>
        <v>0</v>
      </c>
      <c r="M239" s="122">
        <f>+Deducciones!M14</f>
        <v>0</v>
      </c>
      <c r="N239" s="122">
        <f>+Deducciones!N14</f>
        <v>0</v>
      </c>
      <c r="O239" s="122">
        <f>+Deducciones!O14</f>
        <v>0</v>
      </c>
      <c r="P239" s="459">
        <f t="shared" si="66"/>
        <v>0</v>
      </c>
      <c r="Q239" s="460"/>
      <c r="T239" s="222">
        <f t="shared" si="62"/>
        <v>0</v>
      </c>
      <c r="U239" s="486" t="s">
        <v>275</v>
      </c>
      <c r="V239" s="486"/>
    </row>
    <row r="240" spans="1:22" ht="12.75" customHeight="1" x14ac:dyDescent="0.25">
      <c r="A240" s="56" t="s">
        <v>79</v>
      </c>
      <c r="B240" s="62"/>
      <c r="C240" s="62"/>
      <c r="D240" s="122">
        <f>+Deducciones!D15</f>
        <v>0</v>
      </c>
      <c r="E240" s="122">
        <f>+Deducciones!E15</f>
        <v>0</v>
      </c>
      <c r="F240" s="122">
        <f>+Deducciones!F15</f>
        <v>0</v>
      </c>
      <c r="G240" s="122">
        <f>+Deducciones!G15</f>
        <v>0</v>
      </c>
      <c r="H240" s="122">
        <f>+Deducciones!H15</f>
        <v>0</v>
      </c>
      <c r="I240" s="122">
        <f>+Deducciones!I15</f>
        <v>0</v>
      </c>
      <c r="J240" s="122">
        <f>+Deducciones!J15</f>
        <v>0</v>
      </c>
      <c r="K240" s="122">
        <f>+Deducciones!K15</f>
        <v>0</v>
      </c>
      <c r="L240" s="122">
        <f>+Deducciones!L15</f>
        <v>0</v>
      </c>
      <c r="M240" s="122">
        <f>+Deducciones!M15</f>
        <v>0</v>
      </c>
      <c r="N240" s="122">
        <f>+Deducciones!N15</f>
        <v>0</v>
      </c>
      <c r="O240" s="122">
        <f>+Deducciones!O15</f>
        <v>0</v>
      </c>
      <c r="P240" s="459">
        <f t="shared" si="66"/>
        <v>0</v>
      </c>
      <c r="Q240" s="460"/>
      <c r="T240" s="222">
        <f t="shared" si="62"/>
        <v>0</v>
      </c>
      <c r="U240" s="491" t="s">
        <v>272</v>
      </c>
      <c r="V240" s="486"/>
    </row>
    <row r="241" spans="1:22" ht="12.75" customHeight="1" x14ac:dyDescent="0.25">
      <c r="A241" s="56" t="s">
        <v>82</v>
      </c>
      <c r="B241" s="62"/>
      <c r="C241" s="62"/>
      <c r="D241" s="122">
        <f>+Deducciones!D16</f>
        <v>0</v>
      </c>
      <c r="E241" s="122">
        <f>+Deducciones!E16</f>
        <v>0</v>
      </c>
      <c r="F241" s="122">
        <f>+Deducciones!F16</f>
        <v>0</v>
      </c>
      <c r="G241" s="122">
        <f>+Deducciones!G16</f>
        <v>0</v>
      </c>
      <c r="H241" s="122">
        <f>+Deducciones!H16</f>
        <v>0</v>
      </c>
      <c r="I241" s="122">
        <f>+Deducciones!I16</f>
        <v>0</v>
      </c>
      <c r="J241" s="122">
        <f>+Deducciones!J16</f>
        <v>0</v>
      </c>
      <c r="K241" s="122">
        <f>+Deducciones!K16</f>
        <v>0</v>
      </c>
      <c r="L241" s="122">
        <f>+Deducciones!L16</f>
        <v>0</v>
      </c>
      <c r="M241" s="122">
        <f>+Deducciones!M16</f>
        <v>0</v>
      </c>
      <c r="N241" s="122">
        <f>+Deducciones!N16</f>
        <v>0</v>
      </c>
      <c r="O241" s="122">
        <f>+Deducciones!O16</f>
        <v>0</v>
      </c>
      <c r="P241" s="459">
        <f t="shared" si="66"/>
        <v>0</v>
      </c>
      <c r="Q241" s="460"/>
      <c r="T241" s="222">
        <f t="shared" si="62"/>
        <v>0</v>
      </c>
      <c r="U241" s="491" t="s">
        <v>267</v>
      </c>
      <c r="V241" s="486"/>
    </row>
    <row r="242" spans="1:22" ht="12.75" customHeight="1" x14ac:dyDescent="0.25">
      <c r="A242" s="56" t="s">
        <v>83</v>
      </c>
      <c r="B242" s="62"/>
      <c r="C242" s="62"/>
      <c r="D242" s="122">
        <f>+Deducciones!D17</f>
        <v>0</v>
      </c>
      <c r="E242" s="122">
        <f>+Deducciones!E17</f>
        <v>0</v>
      </c>
      <c r="F242" s="122">
        <f>+Deducciones!F17</f>
        <v>0</v>
      </c>
      <c r="G242" s="122">
        <f>+Deducciones!G17</f>
        <v>0</v>
      </c>
      <c r="H242" s="122">
        <f>+Deducciones!H17</f>
        <v>0</v>
      </c>
      <c r="I242" s="122">
        <f>+Deducciones!I17</f>
        <v>0</v>
      </c>
      <c r="J242" s="122">
        <f>+Deducciones!J17</f>
        <v>0</v>
      </c>
      <c r="K242" s="122">
        <f>+Deducciones!K17</f>
        <v>0</v>
      </c>
      <c r="L242" s="122">
        <f>+Deducciones!L17</f>
        <v>0</v>
      </c>
      <c r="M242" s="122">
        <f>+Deducciones!M17</f>
        <v>0</v>
      </c>
      <c r="N242" s="122">
        <f>+Deducciones!N17</f>
        <v>0</v>
      </c>
      <c r="O242" s="122">
        <f>+Deducciones!O17</f>
        <v>0</v>
      </c>
      <c r="P242" s="459">
        <f t="shared" si="66"/>
        <v>0</v>
      </c>
      <c r="Q242" s="460"/>
      <c r="T242" s="222">
        <f t="shared" si="62"/>
        <v>0</v>
      </c>
      <c r="U242" s="491" t="s">
        <v>267</v>
      </c>
      <c r="V242" s="486"/>
    </row>
    <row r="243" spans="1:22" ht="12.75" customHeight="1" x14ac:dyDescent="0.25">
      <c r="A243" s="56" t="s">
        <v>111</v>
      </c>
      <c r="B243" s="62"/>
      <c r="C243" s="62"/>
      <c r="D243" s="122">
        <f>+Deducciones!D18</f>
        <v>0</v>
      </c>
      <c r="E243" s="122">
        <f>+Deducciones!E18</f>
        <v>0</v>
      </c>
      <c r="F243" s="122">
        <f>+Deducciones!F18</f>
        <v>0</v>
      </c>
      <c r="G243" s="122">
        <f>+Deducciones!G18</f>
        <v>0</v>
      </c>
      <c r="H243" s="122">
        <f>+Deducciones!H18</f>
        <v>0</v>
      </c>
      <c r="I243" s="122">
        <f>+Deducciones!I18</f>
        <v>0</v>
      </c>
      <c r="J243" s="122">
        <f>+Deducciones!J18</f>
        <v>0</v>
      </c>
      <c r="K243" s="122">
        <f>+Deducciones!K18</f>
        <v>0</v>
      </c>
      <c r="L243" s="122">
        <f>+Deducciones!L18</f>
        <v>0</v>
      </c>
      <c r="M243" s="122">
        <f>+Deducciones!M18</f>
        <v>0</v>
      </c>
      <c r="N243" s="122">
        <f>+Deducciones!N18</f>
        <v>0</v>
      </c>
      <c r="O243" s="122">
        <f>+Deducciones!O18</f>
        <v>0</v>
      </c>
      <c r="P243" s="459">
        <f t="shared" si="66"/>
        <v>0</v>
      </c>
      <c r="Q243" s="460"/>
      <c r="T243" s="222">
        <f t="shared" si="62"/>
        <v>0</v>
      </c>
      <c r="U243" s="491" t="s">
        <v>269</v>
      </c>
      <c r="V243" s="486"/>
    </row>
    <row r="244" spans="1:22" ht="12.75" customHeight="1" x14ac:dyDescent="0.25">
      <c r="A244" s="56" t="s">
        <v>112</v>
      </c>
      <c r="B244" s="62"/>
      <c r="C244" s="62"/>
      <c r="D244" s="122">
        <f>+Deducciones!D19</f>
        <v>0</v>
      </c>
      <c r="E244" s="122">
        <f>+Deducciones!E19</f>
        <v>0</v>
      </c>
      <c r="F244" s="122">
        <f>+Deducciones!F19</f>
        <v>0</v>
      </c>
      <c r="G244" s="122">
        <f>+Deducciones!G19</f>
        <v>0</v>
      </c>
      <c r="H244" s="122">
        <f>+Deducciones!H19</f>
        <v>0</v>
      </c>
      <c r="I244" s="122">
        <f>+Deducciones!I19</f>
        <v>0</v>
      </c>
      <c r="J244" s="122">
        <f>+Deducciones!J19</f>
        <v>0</v>
      </c>
      <c r="K244" s="122">
        <f>+Deducciones!K19</f>
        <v>0</v>
      </c>
      <c r="L244" s="122">
        <f>+Deducciones!L19</f>
        <v>0</v>
      </c>
      <c r="M244" s="122">
        <f>+Deducciones!M19</f>
        <v>0</v>
      </c>
      <c r="N244" s="122">
        <f>+Deducciones!N19</f>
        <v>0</v>
      </c>
      <c r="O244" s="122">
        <f>+Deducciones!O19</f>
        <v>0</v>
      </c>
      <c r="P244" s="459">
        <f t="shared" si="66"/>
        <v>0</v>
      </c>
      <c r="Q244" s="460"/>
      <c r="T244" s="222">
        <f t="shared" si="62"/>
        <v>0</v>
      </c>
      <c r="U244" s="491" t="s">
        <v>269</v>
      </c>
      <c r="V244" s="486"/>
    </row>
    <row r="245" spans="1:22" ht="12.75" customHeight="1" x14ac:dyDescent="0.25">
      <c r="A245" s="56" t="str">
        <f>+Deducciones!C20</f>
        <v>Alquiler casa habitacion art 85 inc k)  10% Locatario</v>
      </c>
      <c r="B245" s="62"/>
      <c r="C245" s="62"/>
      <c r="D245" s="86">
        <f>+Deducciones!D20</f>
        <v>0</v>
      </c>
      <c r="E245" s="86">
        <f>+Deducciones!E20</f>
        <v>0</v>
      </c>
      <c r="F245" s="86">
        <f>+Deducciones!F20</f>
        <v>0</v>
      </c>
      <c r="G245" s="86">
        <f>+Deducciones!G20</f>
        <v>0</v>
      </c>
      <c r="H245" s="86">
        <f>+Deducciones!H20</f>
        <v>0</v>
      </c>
      <c r="I245" s="86">
        <f>+Deducciones!I20</f>
        <v>0</v>
      </c>
      <c r="J245" s="86">
        <f>+Deducciones!J20</f>
        <v>0</v>
      </c>
      <c r="K245" s="86">
        <f>+Deducciones!K20</f>
        <v>0</v>
      </c>
      <c r="L245" s="86">
        <f>+Deducciones!L20</f>
        <v>0</v>
      </c>
      <c r="M245" s="86">
        <f>+Deducciones!M20</f>
        <v>0</v>
      </c>
      <c r="N245" s="86">
        <f>+Deducciones!N20</f>
        <v>0</v>
      </c>
      <c r="O245" s="86">
        <f>+Deducciones!O20</f>
        <v>0</v>
      </c>
      <c r="P245" s="459">
        <f t="shared" si="66"/>
        <v>0</v>
      </c>
      <c r="Q245" s="460"/>
      <c r="T245" s="222">
        <f t="shared" si="62"/>
        <v>0</v>
      </c>
      <c r="U245" s="486" t="s">
        <v>370</v>
      </c>
      <c r="V245" s="486"/>
    </row>
    <row r="246" spans="1:22" ht="12.75" customHeight="1" x14ac:dyDescent="0.25">
      <c r="A246" s="56" t="str">
        <f>+Deducciones!C21</f>
        <v>Alquiler casa habitacion art 85 inc k)  10% Locador</v>
      </c>
      <c r="B246" s="62"/>
      <c r="C246" s="62"/>
      <c r="D246" s="86">
        <f>+Deducciones!D21</f>
        <v>0</v>
      </c>
      <c r="E246" s="86">
        <f>+Deducciones!E21</f>
        <v>0</v>
      </c>
      <c r="F246" s="86">
        <f>+Deducciones!F21</f>
        <v>0</v>
      </c>
      <c r="G246" s="86">
        <f>+Deducciones!G21</f>
        <v>0</v>
      </c>
      <c r="H246" s="86">
        <f>+Deducciones!H21</f>
        <v>0</v>
      </c>
      <c r="I246" s="86">
        <f>+Deducciones!I21</f>
        <v>0</v>
      </c>
      <c r="J246" s="86">
        <f>+Deducciones!J21</f>
        <v>0</v>
      </c>
      <c r="K246" s="86">
        <f>+Deducciones!K21</f>
        <v>0</v>
      </c>
      <c r="L246" s="86">
        <f>+Deducciones!L21</f>
        <v>0</v>
      </c>
      <c r="M246" s="86">
        <f>+Deducciones!M21</f>
        <v>0</v>
      </c>
      <c r="N246" s="86">
        <f>+Deducciones!N21</f>
        <v>0</v>
      </c>
      <c r="O246" s="86">
        <f>+Deducciones!O21</f>
        <v>0</v>
      </c>
      <c r="P246" s="459">
        <f t="shared" si="66"/>
        <v>0</v>
      </c>
      <c r="Q246" s="460"/>
      <c r="T246" s="222">
        <f t="shared" si="62"/>
        <v>0</v>
      </c>
      <c r="U246" s="486" t="s">
        <v>370</v>
      </c>
      <c r="V246" s="486"/>
    </row>
    <row r="247" spans="1:22" ht="12.75" customHeight="1" x14ac:dyDescent="0.25">
      <c r="A247" s="56"/>
      <c r="B247" s="62"/>
      <c r="C247" s="62"/>
      <c r="D247" s="86"/>
      <c r="E247" s="86"/>
      <c r="F247" s="86"/>
      <c r="G247" s="86"/>
      <c r="H247" s="86"/>
      <c r="I247" s="86"/>
      <c r="J247" s="86"/>
      <c r="K247" s="86"/>
      <c r="L247" s="86"/>
      <c r="M247" s="86"/>
      <c r="N247" s="86"/>
      <c r="O247" s="86"/>
      <c r="P247" s="459">
        <f t="shared" si="66"/>
        <v>0</v>
      </c>
      <c r="Q247" s="460"/>
      <c r="T247" s="222">
        <f t="shared" si="62"/>
        <v>0</v>
      </c>
      <c r="U247" s="486"/>
      <c r="V247" s="486"/>
    </row>
    <row r="248" spans="1:22" ht="12.75" customHeight="1" x14ac:dyDescent="0.25">
      <c r="A248" s="56"/>
      <c r="B248" s="62"/>
      <c r="C248" s="62"/>
      <c r="D248" s="86"/>
      <c r="E248" s="86"/>
      <c r="F248" s="86"/>
      <c r="G248" s="86"/>
      <c r="H248" s="86"/>
      <c r="I248" s="86"/>
      <c r="J248" s="86"/>
      <c r="K248" s="86"/>
      <c r="L248" s="86"/>
      <c r="M248" s="86"/>
      <c r="N248" s="86"/>
      <c r="O248" s="86"/>
      <c r="P248" s="459">
        <f t="shared" si="66"/>
        <v>0</v>
      </c>
      <c r="Q248" s="460"/>
      <c r="T248" s="222">
        <f t="shared" si="62"/>
        <v>0</v>
      </c>
      <c r="U248" s="486"/>
      <c r="V248" s="486"/>
    </row>
    <row r="249" spans="1:22" ht="12.75" customHeight="1" x14ac:dyDescent="0.25">
      <c r="A249" s="56"/>
      <c r="B249" s="62"/>
      <c r="C249" s="62"/>
      <c r="D249" s="86"/>
      <c r="E249" s="86"/>
      <c r="F249" s="86"/>
      <c r="G249" s="86"/>
      <c r="H249" s="86"/>
      <c r="I249" s="86"/>
      <c r="J249" s="86"/>
      <c r="K249" s="86"/>
      <c r="L249" s="86"/>
      <c r="M249" s="86"/>
      <c r="N249" s="86"/>
      <c r="O249" s="86"/>
      <c r="P249" s="459">
        <f t="shared" si="66"/>
        <v>0</v>
      </c>
      <c r="Q249" s="460"/>
      <c r="T249" s="222">
        <f t="shared" si="62"/>
        <v>0</v>
      </c>
      <c r="U249" s="486"/>
      <c r="V249" s="486"/>
    </row>
    <row r="250" spans="1:22" ht="12.75" customHeight="1" thickBot="1" x14ac:dyDescent="0.3">
      <c r="A250" s="320" t="s">
        <v>27</v>
      </c>
      <c r="B250" s="389"/>
      <c r="C250" s="361"/>
      <c r="D250" s="5">
        <f>SUM(D222:D249)</f>
        <v>0</v>
      </c>
      <c r="E250" s="5">
        <f t="shared" ref="E250:O250" si="67">SUM(E222:E249)</f>
        <v>0</v>
      </c>
      <c r="F250" s="5">
        <f t="shared" si="67"/>
        <v>0</v>
      </c>
      <c r="G250" s="5">
        <f t="shared" si="67"/>
        <v>0</v>
      </c>
      <c r="H250" s="5">
        <f t="shared" si="67"/>
        <v>0</v>
      </c>
      <c r="I250" s="5">
        <f t="shared" si="67"/>
        <v>0</v>
      </c>
      <c r="J250" s="5">
        <f t="shared" si="67"/>
        <v>0</v>
      </c>
      <c r="K250" s="5">
        <f t="shared" si="67"/>
        <v>0</v>
      </c>
      <c r="L250" s="5">
        <f t="shared" si="67"/>
        <v>0</v>
      </c>
      <c r="M250" s="5">
        <f t="shared" si="67"/>
        <v>0</v>
      </c>
      <c r="N250" s="5">
        <f t="shared" si="67"/>
        <v>0</v>
      </c>
      <c r="O250" s="5">
        <f t="shared" si="67"/>
        <v>0</v>
      </c>
      <c r="P250" s="7"/>
      <c r="Q250" s="51"/>
      <c r="T250" s="222"/>
      <c r="U250" s="486"/>
      <c r="V250" s="486"/>
    </row>
    <row r="251" spans="1:22" ht="16.8" customHeight="1" thickBot="1" x14ac:dyDescent="0.3">
      <c r="A251" s="390" t="s">
        <v>28</v>
      </c>
      <c r="B251" s="391"/>
      <c r="C251" s="392"/>
      <c r="D251" s="20">
        <f>D250</f>
        <v>0</v>
      </c>
      <c r="E251" s="20">
        <f>+D251+E250</f>
        <v>0</v>
      </c>
      <c r="F251" s="20">
        <f>+E251+F250</f>
        <v>0</v>
      </c>
      <c r="G251" s="20">
        <f>+F251+G250</f>
        <v>0</v>
      </c>
      <c r="H251" s="20">
        <f t="shared" ref="H251:L251" si="68">+G251+H250</f>
        <v>0</v>
      </c>
      <c r="I251" s="20">
        <f t="shared" si="68"/>
        <v>0</v>
      </c>
      <c r="J251" s="20">
        <f t="shared" si="68"/>
        <v>0</v>
      </c>
      <c r="K251" s="20">
        <f t="shared" si="68"/>
        <v>0</v>
      </c>
      <c r="L251" s="20">
        <f t="shared" si="68"/>
        <v>0</v>
      </c>
      <c r="M251" s="20">
        <f t="shared" ref="M251" si="69">+L251+M250</f>
        <v>0</v>
      </c>
      <c r="N251" s="20">
        <f t="shared" ref="N251" si="70">+M251+N250</f>
        <v>0</v>
      </c>
      <c r="O251" s="20">
        <f>+N251+O250</f>
        <v>0</v>
      </c>
      <c r="P251" s="461">
        <f>SUM(P222:P249)</f>
        <v>0</v>
      </c>
      <c r="Q251" s="117"/>
      <c r="T251" s="176"/>
      <c r="U251" s="486"/>
      <c r="V251" s="486"/>
    </row>
    <row r="252" spans="1:22" ht="6" customHeight="1" x14ac:dyDescent="0.25">
      <c r="A252" s="319"/>
      <c r="B252" s="382"/>
      <c r="C252" s="382"/>
      <c r="D252" s="3"/>
      <c r="E252" s="3"/>
      <c r="F252" s="3"/>
      <c r="G252" s="3"/>
      <c r="H252" s="3"/>
      <c r="I252" s="3"/>
      <c r="J252" s="3"/>
      <c r="K252" s="3"/>
      <c r="L252" s="3"/>
      <c r="M252" s="3"/>
      <c r="N252" s="3"/>
      <c r="O252" s="3"/>
      <c r="P252" s="4"/>
      <c r="Q252" s="6"/>
      <c r="T252" s="176"/>
      <c r="U252" s="486"/>
      <c r="V252" s="486"/>
    </row>
    <row r="253" spans="1:22" ht="14.25" customHeight="1" x14ac:dyDescent="0.25">
      <c r="A253" s="320" t="s">
        <v>65</v>
      </c>
      <c r="B253" s="389"/>
      <c r="C253" s="389"/>
      <c r="D253" s="5">
        <f>MAX(0,D214-D251)</f>
        <v>0</v>
      </c>
      <c r="E253" s="5">
        <f>MAX(0,SUM($D214:E214)-E251)</f>
        <v>0</v>
      </c>
      <c r="F253" s="5">
        <f>MAX(0,SUM($D214:F214)-F251)</f>
        <v>0</v>
      </c>
      <c r="G253" s="5">
        <f>MAX(0,SUM($D214:G214)-G251)</f>
        <v>0</v>
      </c>
      <c r="H253" s="5">
        <f>MAX(0,SUM($D214:H214)-H251)</f>
        <v>0</v>
      </c>
      <c r="I253" s="5">
        <f>MAX(0,SUM($D214:I214)-I251)</f>
        <v>0</v>
      </c>
      <c r="J253" s="5">
        <f>MAX(0,SUM($D214:J214)-J251)</f>
        <v>0</v>
      </c>
      <c r="K253" s="5">
        <f>MAX(0,SUM($D214:K214)-K251)</f>
        <v>0</v>
      </c>
      <c r="L253" s="5">
        <f>MAX(0,SUM($D214:L214)-L251)</f>
        <v>0</v>
      </c>
      <c r="M253" s="5">
        <f>MAX(0,SUM($D214:M214)-M251)</f>
        <v>0</v>
      </c>
      <c r="N253" s="5">
        <f>MAX(0,SUM($D214:N214)-N251)</f>
        <v>0</v>
      </c>
      <c r="O253" s="5">
        <f>MAX(0,SUM($D214:O214)-O251)</f>
        <v>0</v>
      </c>
      <c r="P253" s="462">
        <f>ROUND(MAX(0,P214-P251),2)</f>
        <v>0</v>
      </c>
      <c r="Q253" s="463"/>
      <c r="T253" s="176"/>
      <c r="U253" s="486"/>
      <c r="V253" s="486"/>
    </row>
    <row r="254" spans="1:22" ht="6.75" customHeight="1" x14ac:dyDescent="0.25">
      <c r="A254" s="319"/>
      <c r="B254" s="382"/>
      <c r="C254" s="382"/>
      <c r="D254" s="3"/>
      <c r="E254" s="3"/>
      <c r="F254" s="3"/>
      <c r="G254" s="3"/>
      <c r="H254" s="3"/>
      <c r="I254" s="3"/>
      <c r="J254" s="3"/>
      <c r="K254" s="3"/>
      <c r="L254" s="3"/>
      <c r="M254" s="3"/>
      <c r="N254" s="3"/>
      <c r="O254" s="3"/>
      <c r="P254" s="4"/>
      <c r="Q254" s="6"/>
      <c r="T254" s="176"/>
      <c r="U254" s="486"/>
      <c r="V254" s="486"/>
    </row>
    <row r="255" spans="1:22" ht="14.25" customHeight="1" x14ac:dyDescent="0.25">
      <c r="A255" s="320" t="s">
        <v>66</v>
      </c>
      <c r="B255" s="389"/>
      <c r="C255" s="389"/>
      <c r="D255" s="393">
        <f t="shared" ref="D255:O255" si="71">ROUND(IF(D253&lt;0,0,D253*0.05),2)</f>
        <v>0</v>
      </c>
      <c r="E255" s="393">
        <f t="shared" si="71"/>
        <v>0</v>
      </c>
      <c r="F255" s="393">
        <f t="shared" si="71"/>
        <v>0</v>
      </c>
      <c r="G255" s="393">
        <f t="shared" si="71"/>
        <v>0</v>
      </c>
      <c r="H255" s="393">
        <f t="shared" si="71"/>
        <v>0</v>
      </c>
      <c r="I255" s="393">
        <f t="shared" si="71"/>
        <v>0</v>
      </c>
      <c r="J255" s="393">
        <f t="shared" si="71"/>
        <v>0</v>
      </c>
      <c r="K255" s="393">
        <f t="shared" si="71"/>
        <v>0</v>
      </c>
      <c r="L255" s="393">
        <f t="shared" si="71"/>
        <v>0</v>
      </c>
      <c r="M255" s="393">
        <f t="shared" si="71"/>
        <v>0</v>
      </c>
      <c r="N255" s="393">
        <f t="shared" si="71"/>
        <v>0</v>
      </c>
      <c r="O255" s="393">
        <f t="shared" si="71"/>
        <v>0</v>
      </c>
      <c r="P255" s="464">
        <f>IF(P253&lt;0,0,P253*0.05)</f>
        <v>0</v>
      </c>
      <c r="Q255" s="520"/>
      <c r="R255" s="236"/>
      <c r="T255" s="176"/>
      <c r="U255" s="486"/>
      <c r="V255" s="486"/>
    </row>
    <row r="256" spans="1:22" ht="12.75" customHeight="1" x14ac:dyDescent="0.25">
      <c r="A256" s="196" t="s">
        <v>29</v>
      </c>
      <c r="B256" s="195"/>
      <c r="D256" s="252">
        <f>ROUND(MAX(0,MIN(SUM(Deducciones!$D11:D11),D$255)),2)</f>
        <v>0</v>
      </c>
      <c r="E256" s="252">
        <f>+MAX(0,MIN(SUM(Deducciones!$D11:E11),E$255)-SUM($D256:D256))</f>
        <v>0</v>
      </c>
      <c r="F256" s="252">
        <f>+MAX(0,MIN(SUM(Deducciones!$D11:F11),F$255)-SUM($D256:E256))</f>
        <v>0</v>
      </c>
      <c r="G256" s="252">
        <f>+MAX(0,MIN(SUM(Deducciones!$D11:G11),G$255)-SUM($D256:F256))</f>
        <v>0</v>
      </c>
      <c r="H256" s="252">
        <f>+MAX(0,MIN(SUM(Deducciones!$D11:H11),H$255)-SUM($D256:G256))</f>
        <v>0</v>
      </c>
      <c r="I256" s="252">
        <f>+MAX(0,MIN(SUM(Deducciones!$D11:I11),I$255)-SUM($D256:H256))</f>
        <v>0</v>
      </c>
      <c r="J256" s="252">
        <f>+MAX(0,MIN(SUM(Deducciones!$D11:J11),J$255)-SUM($D256:I256))</f>
        <v>0</v>
      </c>
      <c r="K256" s="252">
        <f>+MAX(0,MIN(SUM(Deducciones!$D11:K11),K$255)-SUM($D256:J256))</f>
        <v>0</v>
      </c>
      <c r="L256" s="252">
        <f>+MAX(0,MIN(SUM(Deducciones!$D11:L11),L$255)-SUM($D256:K256))</f>
        <v>0</v>
      </c>
      <c r="M256" s="252">
        <f>+MAX(0,MIN(SUM(Deducciones!$D11:M11),M$255)-SUM($D256:L256))</f>
        <v>0</v>
      </c>
      <c r="N256" s="252">
        <f>+MAX(0,MIN(SUM(Deducciones!$D11:N11),N$255)-SUM($D256:M256))</f>
        <v>0</v>
      </c>
      <c r="O256" s="252">
        <f>+MAX(0,MIN(SUM(Deducciones!$D11:O11),O$255)-SUM($D256:N256))</f>
        <v>0</v>
      </c>
      <c r="P256" s="11">
        <f>MAX(0,MIN(Deducciones!$P11,$P$255))</f>
        <v>0</v>
      </c>
      <c r="Q256" s="520"/>
      <c r="T256" s="222">
        <f>+P256</f>
        <v>0</v>
      </c>
      <c r="U256" s="486" t="s">
        <v>261</v>
      </c>
      <c r="V256" s="486"/>
    </row>
    <row r="257" spans="1:22" ht="12.75" customHeight="1" x14ac:dyDescent="0.25">
      <c r="A257" s="526" t="s">
        <v>342</v>
      </c>
      <c r="B257" s="195"/>
      <c r="D257" s="252">
        <v>0</v>
      </c>
      <c r="E257" s="252">
        <v>0</v>
      </c>
      <c r="F257" s="252">
        <v>0</v>
      </c>
      <c r="G257" s="252">
        <v>0</v>
      </c>
      <c r="H257" s="252">
        <v>0</v>
      </c>
      <c r="I257" s="252">
        <v>0</v>
      </c>
      <c r="J257" s="252">
        <v>0</v>
      </c>
      <c r="K257" s="252">
        <v>0</v>
      </c>
      <c r="L257" s="252">
        <v>0</v>
      </c>
      <c r="M257" s="252">
        <v>0</v>
      </c>
      <c r="N257" s="252">
        <v>0</v>
      </c>
      <c r="O257" s="252">
        <v>0</v>
      </c>
      <c r="P257" s="11">
        <f>MAX(0,MIN(Deducciones!$P12,$P$255))</f>
        <v>0</v>
      </c>
      <c r="Q257" s="520"/>
      <c r="T257" s="222">
        <f t="shared" ref="T257:T258" si="72">+P257</f>
        <v>0</v>
      </c>
      <c r="U257" s="486" t="s">
        <v>270</v>
      </c>
      <c r="V257" s="486"/>
    </row>
    <row r="258" spans="1:22" ht="12.75" customHeight="1" x14ac:dyDescent="0.25">
      <c r="A258" s="196" t="s">
        <v>17</v>
      </c>
      <c r="B258" s="195"/>
      <c r="D258" s="252">
        <f>+MAX(0,MIN(SUM(Deducciones!$D$13:D13),D$255))</f>
        <v>0</v>
      </c>
      <c r="E258" s="252">
        <f>+MAX(0,MIN(SUM(Deducciones!$D$13:E13),E$255)-SUM($D$258:D258))</f>
        <v>0</v>
      </c>
      <c r="F258" s="252">
        <f>+MAX(0,MIN(SUM(Deducciones!$D$13:F13),F$255)-SUM($D$258:E258))</f>
        <v>0</v>
      </c>
      <c r="G258" s="252">
        <f>+MAX(0,MIN(SUM(Deducciones!$D$13:G13),G$255)-SUM($D$258:F258))</f>
        <v>0</v>
      </c>
      <c r="H258" s="252">
        <f>+MAX(0,MIN(SUM(Deducciones!$D$13:H13),H$255)-SUM($D$258:G258))</f>
        <v>0</v>
      </c>
      <c r="I258" s="252">
        <f>+MAX(0,MIN(SUM(Deducciones!$D$13:I13),I$255)-SUM($D$258:H258))</f>
        <v>0</v>
      </c>
      <c r="J258" s="252">
        <f>+MAX(0,MIN(SUM(Deducciones!$D$13:J13),J$255)-SUM($D$258:I258))</f>
        <v>0</v>
      </c>
      <c r="K258" s="252">
        <f>+MAX(0,MIN(SUM(Deducciones!$D$13:K13),K$255)-SUM($D$258:J258))</f>
        <v>0</v>
      </c>
      <c r="L258" s="252">
        <f>+MAX(0,MIN(SUM(Deducciones!$D$13:L13),L$255)-SUM($D$258:K258))</f>
        <v>0</v>
      </c>
      <c r="M258" s="252">
        <f>+MAX(0,MIN(SUM(Deducciones!$D$13:M13),M$255)-SUM($D$258:L258))</f>
        <v>0</v>
      </c>
      <c r="N258" s="252">
        <f>+MAX(0,MIN(SUM(Deducciones!$D$13:N13),N$255)-SUM($D$258:M258))</f>
        <v>0</v>
      </c>
      <c r="O258" s="252">
        <f>+MAX(0,MIN(SUM(Deducciones!$D$13:O13),O$255)-SUM($D$258:N258))</f>
        <v>0</v>
      </c>
      <c r="P258" s="11">
        <f>MAX(0,MIN(Deducciones!$P13,$P$255))</f>
        <v>0</v>
      </c>
      <c r="Q258" s="520"/>
      <c r="T258" s="222">
        <f t="shared" si="72"/>
        <v>0</v>
      </c>
      <c r="U258" s="491" t="s">
        <v>268</v>
      </c>
      <c r="V258" s="486"/>
    </row>
    <row r="259" spans="1:22" ht="12.75" customHeight="1" thickBot="1" x14ac:dyDescent="0.3">
      <c r="A259" s="320" t="s">
        <v>104</v>
      </c>
      <c r="B259" s="389"/>
      <c r="C259" s="361"/>
      <c r="D259" s="5">
        <f t="shared" ref="D259:O259" si="73">SUM(D256:D258)</f>
        <v>0</v>
      </c>
      <c r="E259" s="5">
        <f t="shared" si="73"/>
        <v>0</v>
      </c>
      <c r="F259" s="5">
        <f t="shared" si="73"/>
        <v>0</v>
      </c>
      <c r="G259" s="5">
        <f t="shared" si="73"/>
        <v>0</v>
      </c>
      <c r="H259" s="5">
        <f t="shared" si="73"/>
        <v>0</v>
      </c>
      <c r="I259" s="5">
        <f t="shared" si="73"/>
        <v>0</v>
      </c>
      <c r="J259" s="5">
        <f t="shared" si="73"/>
        <v>0</v>
      </c>
      <c r="K259" s="5">
        <f t="shared" si="73"/>
        <v>0</v>
      </c>
      <c r="L259" s="5">
        <f t="shared" si="73"/>
        <v>0</v>
      </c>
      <c r="M259" s="5">
        <f>SUM(M256:M258)</f>
        <v>0</v>
      </c>
      <c r="N259" s="5">
        <f t="shared" si="73"/>
        <v>0</v>
      </c>
      <c r="O259" s="5">
        <f t="shared" si="73"/>
        <v>0</v>
      </c>
      <c r="P259" s="465"/>
      <c r="Q259" s="466"/>
      <c r="T259" s="176"/>
      <c r="U259" s="486"/>
      <c r="V259" s="486"/>
    </row>
    <row r="260" spans="1:22" ht="16.2" customHeight="1" thickBot="1" x14ac:dyDescent="0.3">
      <c r="A260" s="390" t="s">
        <v>71</v>
      </c>
      <c r="B260" s="391"/>
      <c r="C260" s="392"/>
      <c r="D260" s="20">
        <f>+D259</f>
        <v>0</v>
      </c>
      <c r="E260" s="20">
        <f>+D260+E259</f>
        <v>0</v>
      </c>
      <c r="F260" s="20">
        <f>+E260+F259</f>
        <v>0</v>
      </c>
      <c r="G260" s="20">
        <f t="shared" ref="G260:K260" si="74">+F260+G259</f>
        <v>0</v>
      </c>
      <c r="H260" s="20">
        <f t="shared" si="74"/>
        <v>0</v>
      </c>
      <c r="I260" s="20">
        <f t="shared" si="74"/>
        <v>0</v>
      </c>
      <c r="J260" s="20">
        <f t="shared" si="74"/>
        <v>0</v>
      </c>
      <c r="K260" s="20">
        <f t="shared" si="74"/>
        <v>0</v>
      </c>
      <c r="L260" s="20">
        <f>+K260+L259</f>
        <v>0</v>
      </c>
      <c r="M260" s="20">
        <f t="shared" ref="M260:O260" si="75">+L260+M259</f>
        <v>0</v>
      </c>
      <c r="N260" s="20">
        <f t="shared" si="75"/>
        <v>0</v>
      </c>
      <c r="O260" s="20">
        <f t="shared" si="75"/>
        <v>0</v>
      </c>
      <c r="P260" s="461">
        <f>SUM(P256:P258)</f>
        <v>0</v>
      </c>
      <c r="Q260" s="117"/>
      <c r="T260" s="176"/>
      <c r="U260" s="486"/>
      <c r="V260" s="486"/>
    </row>
    <row r="261" spans="1:22" ht="7.8" customHeight="1" x14ac:dyDescent="0.25">
      <c r="A261" s="253"/>
      <c r="B261" s="254"/>
      <c r="C261" s="255"/>
      <c r="D261" s="256"/>
      <c r="E261" s="256"/>
      <c r="F261" s="256"/>
      <c r="G261" s="256"/>
      <c r="H261" s="256"/>
      <c r="I261" s="256"/>
      <c r="J261" s="256"/>
      <c r="K261" s="256"/>
      <c r="L261" s="256"/>
      <c r="M261" s="256"/>
      <c r="N261" s="256"/>
      <c r="O261" s="256"/>
      <c r="P261" s="21"/>
      <c r="Q261" s="89"/>
      <c r="T261" s="176"/>
      <c r="U261" s="486"/>
      <c r="V261" s="486"/>
    </row>
    <row r="262" spans="1:22" ht="14.4" customHeight="1" x14ac:dyDescent="0.25">
      <c r="A262" s="320" t="s">
        <v>225</v>
      </c>
      <c r="B262" s="389"/>
      <c r="C262" s="361"/>
      <c r="D262" s="5">
        <f>+D250+D259</f>
        <v>0</v>
      </c>
      <c r="E262" s="5">
        <f t="shared" ref="E262:O262" si="76">+E250+E259</f>
        <v>0</v>
      </c>
      <c r="F262" s="5">
        <f t="shared" si="76"/>
        <v>0</v>
      </c>
      <c r="G262" s="5">
        <f t="shared" si="76"/>
        <v>0</v>
      </c>
      <c r="H262" s="5">
        <f t="shared" si="76"/>
        <v>0</v>
      </c>
      <c r="I262" s="5">
        <f t="shared" si="76"/>
        <v>0</v>
      </c>
      <c r="J262" s="5">
        <f t="shared" si="76"/>
        <v>0</v>
      </c>
      <c r="K262" s="5">
        <f t="shared" si="76"/>
        <v>0</v>
      </c>
      <c r="L262" s="5">
        <f t="shared" si="76"/>
        <v>0</v>
      </c>
      <c r="M262" s="5">
        <f t="shared" si="76"/>
        <v>0</v>
      </c>
      <c r="N262" s="5">
        <f t="shared" si="76"/>
        <v>0</v>
      </c>
      <c r="O262" s="5">
        <f t="shared" si="76"/>
        <v>0</v>
      </c>
      <c r="P262" s="116"/>
      <c r="Q262" s="117"/>
      <c r="T262" s="176"/>
      <c r="U262" s="486"/>
      <c r="V262" s="486"/>
    </row>
    <row r="263" spans="1:22" ht="19.2" customHeight="1" x14ac:dyDescent="0.25">
      <c r="A263" s="394" t="s">
        <v>103</v>
      </c>
      <c r="B263" s="395"/>
      <c r="C263" s="396"/>
      <c r="D263" s="23">
        <f>+D251+D260</f>
        <v>0</v>
      </c>
      <c r="E263" s="23">
        <f t="shared" ref="E263:O263" si="77">+E251+E260</f>
        <v>0</v>
      </c>
      <c r="F263" s="23">
        <f t="shared" si="77"/>
        <v>0</v>
      </c>
      <c r="G263" s="23">
        <f t="shared" si="77"/>
        <v>0</v>
      </c>
      <c r="H263" s="23">
        <f t="shared" si="77"/>
        <v>0</v>
      </c>
      <c r="I263" s="23">
        <f t="shared" si="77"/>
        <v>0</v>
      </c>
      <c r="J263" s="23">
        <f t="shared" si="77"/>
        <v>0</v>
      </c>
      <c r="K263" s="23">
        <f t="shared" si="77"/>
        <v>0</v>
      </c>
      <c r="L263" s="23">
        <f t="shared" si="77"/>
        <v>0</v>
      </c>
      <c r="M263" s="23">
        <f>+M251+M260</f>
        <v>0</v>
      </c>
      <c r="N263" s="23">
        <f t="shared" si="77"/>
        <v>0</v>
      </c>
      <c r="O263" s="23">
        <f t="shared" si="77"/>
        <v>0</v>
      </c>
      <c r="P263" s="24">
        <f>+P251+P260</f>
        <v>0</v>
      </c>
      <c r="Q263" s="89"/>
      <c r="T263" s="257">
        <f>+P263</f>
        <v>0</v>
      </c>
      <c r="U263" s="490" t="s">
        <v>277</v>
      </c>
      <c r="V263" s="486"/>
    </row>
    <row r="264" spans="1:22" ht="6.75" customHeight="1" x14ac:dyDescent="0.25">
      <c r="A264" s="397"/>
      <c r="B264" s="398"/>
      <c r="C264" s="398"/>
      <c r="D264" s="22"/>
      <c r="E264" s="22"/>
      <c r="F264" s="22"/>
      <c r="G264" s="22"/>
      <c r="H264" s="22"/>
      <c r="I264" s="22"/>
      <c r="J264" s="22"/>
      <c r="K264" s="22"/>
      <c r="L264" s="22"/>
      <c r="M264" s="22"/>
      <c r="N264" s="22"/>
      <c r="O264" s="22"/>
      <c r="P264" s="4"/>
      <c r="Q264" s="6"/>
      <c r="T264" s="176"/>
      <c r="U264" s="486"/>
      <c r="V264" s="486"/>
    </row>
    <row r="265" spans="1:22" ht="15" customHeight="1" x14ac:dyDescent="0.25">
      <c r="A265" s="399" t="s">
        <v>87</v>
      </c>
      <c r="B265" s="400"/>
      <c r="C265" s="401"/>
      <c r="D265" s="18">
        <f>+D214-D250-D259</f>
        <v>0</v>
      </c>
      <c r="E265" s="18">
        <f t="shared" ref="E265:O265" si="78">+E214-E250-E259</f>
        <v>0</v>
      </c>
      <c r="F265" s="18">
        <f t="shared" si="78"/>
        <v>0</v>
      </c>
      <c r="G265" s="18">
        <f t="shared" si="78"/>
        <v>0</v>
      </c>
      <c r="H265" s="18">
        <f t="shared" si="78"/>
        <v>0</v>
      </c>
      <c r="I265" s="18">
        <f t="shared" si="78"/>
        <v>0</v>
      </c>
      <c r="J265" s="18">
        <f t="shared" si="78"/>
        <v>0</v>
      </c>
      <c r="K265" s="18">
        <f t="shared" si="78"/>
        <v>0</v>
      </c>
      <c r="L265" s="18">
        <f t="shared" si="78"/>
        <v>0</v>
      </c>
      <c r="M265" s="18">
        <f t="shared" si="78"/>
        <v>0</v>
      </c>
      <c r="N265" s="18">
        <f t="shared" si="78"/>
        <v>0</v>
      </c>
      <c r="O265" s="18">
        <f t="shared" si="78"/>
        <v>0</v>
      </c>
      <c r="P265" s="1"/>
      <c r="Q265" s="6"/>
      <c r="T265" s="176"/>
      <c r="U265" s="486"/>
      <c r="V265" s="486"/>
    </row>
    <row r="266" spans="1:22" ht="6.6" customHeight="1" thickBot="1" x14ac:dyDescent="0.3">
      <c r="A266" s="402" t="s">
        <v>113</v>
      </c>
      <c r="B266" s="403"/>
      <c r="C266" s="404"/>
      <c r="D266" s="37">
        <f>+MAX(0,D265)</f>
        <v>0</v>
      </c>
      <c r="E266" s="37">
        <f t="shared" ref="E266:O266" si="79">+MAX(0,E265)</f>
        <v>0</v>
      </c>
      <c r="F266" s="37">
        <f t="shared" si="79"/>
        <v>0</v>
      </c>
      <c r="G266" s="37">
        <f t="shared" si="79"/>
        <v>0</v>
      </c>
      <c r="H266" s="37">
        <f t="shared" si="79"/>
        <v>0</v>
      </c>
      <c r="I266" s="37">
        <f t="shared" si="79"/>
        <v>0</v>
      </c>
      <c r="J266" s="37">
        <f t="shared" si="79"/>
        <v>0</v>
      </c>
      <c r="K266" s="37">
        <f t="shared" si="79"/>
        <v>0</v>
      </c>
      <c r="L266" s="37">
        <f t="shared" si="79"/>
        <v>0</v>
      </c>
      <c r="M266" s="37">
        <f t="shared" si="79"/>
        <v>0</v>
      </c>
      <c r="N266" s="37">
        <f t="shared" si="79"/>
        <v>0</v>
      </c>
      <c r="O266" s="37">
        <f t="shared" si="79"/>
        <v>0</v>
      </c>
      <c r="P266" s="1"/>
      <c r="Q266" s="6"/>
      <c r="T266" s="176"/>
      <c r="U266" s="486"/>
      <c r="V266" s="486"/>
    </row>
    <row r="267" spans="1:22" ht="21.6" customHeight="1" thickBot="1" x14ac:dyDescent="0.3">
      <c r="A267" s="258" t="s">
        <v>88</v>
      </c>
      <c r="B267" s="259"/>
      <c r="C267" s="260"/>
      <c r="D267" s="261">
        <f>+D265</f>
        <v>0</v>
      </c>
      <c r="E267" s="261">
        <f>+E265+D267</f>
        <v>0</v>
      </c>
      <c r="F267" s="261">
        <f t="shared" ref="F267:G267" si="80">+F265+E267</f>
        <v>0</v>
      </c>
      <c r="G267" s="261">
        <f t="shared" si="80"/>
        <v>0</v>
      </c>
      <c r="H267" s="261">
        <f t="shared" ref="H267" si="81">+H265+G267</f>
        <v>0</v>
      </c>
      <c r="I267" s="261">
        <f t="shared" ref="I267" si="82">+I265+H267</f>
        <v>0</v>
      </c>
      <c r="J267" s="261">
        <f t="shared" ref="J267" si="83">+J265+I267</f>
        <v>0</v>
      </c>
      <c r="K267" s="261">
        <f t="shared" ref="K267" si="84">+K265+J267</f>
        <v>0</v>
      </c>
      <c r="L267" s="261">
        <f t="shared" ref="L267" si="85">+L265+K267</f>
        <v>0</v>
      </c>
      <c r="M267" s="261">
        <f t="shared" ref="M267" si="86">+M265+L267</f>
        <v>0</v>
      </c>
      <c r="N267" s="261">
        <f t="shared" ref="N267" si="87">+N265+M267</f>
        <v>0</v>
      </c>
      <c r="O267" s="261">
        <f t="shared" ref="O267" si="88">+O265+N267</f>
        <v>0</v>
      </c>
      <c r="P267" s="2">
        <f>P214-P263</f>
        <v>0</v>
      </c>
      <c r="Q267" s="5"/>
      <c r="R267" s="237"/>
      <c r="T267" s="176"/>
      <c r="U267" s="486"/>
      <c r="V267" s="486"/>
    </row>
    <row r="268" spans="1:22" ht="6.75" customHeight="1" x14ac:dyDescent="0.25">
      <c r="A268" s="173"/>
      <c r="B268" s="174"/>
      <c r="C268" s="174"/>
      <c r="D268" s="175"/>
      <c r="E268" s="175"/>
      <c r="F268" s="175"/>
      <c r="G268" s="175"/>
      <c r="H268" s="175"/>
      <c r="I268" s="175"/>
      <c r="J268" s="175"/>
      <c r="K268" s="175"/>
      <c r="L268" s="175"/>
      <c r="M268" s="175"/>
      <c r="N268" s="175"/>
      <c r="O268" s="175"/>
      <c r="P268" s="4"/>
      <c r="Q268" s="6"/>
      <c r="T268" s="176"/>
      <c r="U268" s="486"/>
      <c r="V268" s="486"/>
    </row>
    <row r="269" spans="1:22" ht="19.2" customHeight="1" x14ac:dyDescent="0.25">
      <c r="A269" s="405" t="s">
        <v>68</v>
      </c>
      <c r="B269" s="406"/>
      <c r="C269" s="406"/>
      <c r="D269" s="406"/>
      <c r="E269" s="406"/>
      <c r="F269" s="406"/>
      <c r="G269" s="406"/>
      <c r="H269" s="406"/>
      <c r="I269" s="406"/>
      <c r="J269" s="406"/>
      <c r="K269" s="406"/>
      <c r="L269" s="406"/>
      <c r="M269" s="406"/>
      <c r="N269" s="406"/>
      <c r="O269" s="407"/>
      <c r="P269" s="1"/>
      <c r="Q269" s="89"/>
      <c r="T269" s="176"/>
      <c r="U269" s="486"/>
      <c r="V269" s="486"/>
    </row>
    <row r="270" spans="1:22" s="560" customFormat="1" ht="15" hidden="1" customHeight="1" x14ac:dyDescent="0.25">
      <c r="A270" s="751" t="s">
        <v>91</v>
      </c>
      <c r="B270" s="752"/>
      <c r="C270" s="753"/>
      <c r="D270" s="754">
        <f>D321</f>
        <v>257586.25</v>
      </c>
      <c r="E270" s="754">
        <f t="shared" ref="E270:O270" si="89">E321</f>
        <v>257586.25</v>
      </c>
      <c r="F270" s="754">
        <f t="shared" si="89"/>
        <v>257586.25</v>
      </c>
      <c r="G270" s="754">
        <f t="shared" si="89"/>
        <v>257586.25</v>
      </c>
      <c r="H270" s="754">
        <f t="shared" si="89"/>
        <v>257586.25</v>
      </c>
      <c r="I270" s="754">
        <f t="shared" si="89"/>
        <v>257586.25</v>
      </c>
      <c r="J270" s="754">
        <f t="shared" si="89"/>
        <v>257586.25</v>
      </c>
      <c r="K270" s="754">
        <f t="shared" si="89"/>
        <v>257586.25</v>
      </c>
      <c r="L270" s="754">
        <f t="shared" si="89"/>
        <v>291974.01416666666</v>
      </c>
      <c r="M270" s="754">
        <f t="shared" si="89"/>
        <v>291974.01416666666</v>
      </c>
      <c r="N270" s="754">
        <f t="shared" si="89"/>
        <v>291974.01416666666</v>
      </c>
      <c r="O270" s="754">
        <f t="shared" si="89"/>
        <v>291974.01416666666</v>
      </c>
      <c r="P270" s="755"/>
      <c r="Q270" s="756"/>
      <c r="R270" s="559"/>
      <c r="T270" s="574"/>
      <c r="U270" s="561"/>
      <c r="V270" s="561"/>
    </row>
    <row r="271" spans="1:22" s="560" customFormat="1" ht="15" hidden="1" customHeight="1" x14ac:dyDescent="0.25">
      <c r="A271" s="751" t="s">
        <v>92</v>
      </c>
      <c r="B271" s="752"/>
      <c r="C271" s="753"/>
      <c r="D271" s="754">
        <f>D323</f>
        <v>0</v>
      </c>
      <c r="E271" s="754">
        <f t="shared" ref="E271:O271" si="90">E323</f>
        <v>0</v>
      </c>
      <c r="F271" s="754">
        <f t="shared" si="90"/>
        <v>0</v>
      </c>
      <c r="G271" s="754">
        <f t="shared" si="90"/>
        <v>0</v>
      </c>
      <c r="H271" s="754">
        <f t="shared" si="90"/>
        <v>0</v>
      </c>
      <c r="I271" s="754">
        <f t="shared" si="90"/>
        <v>0</v>
      </c>
      <c r="J271" s="754">
        <f t="shared" si="90"/>
        <v>0</v>
      </c>
      <c r="K271" s="754">
        <f t="shared" si="90"/>
        <v>0</v>
      </c>
      <c r="L271" s="754">
        <f t="shared" si="90"/>
        <v>0</v>
      </c>
      <c r="M271" s="754">
        <f t="shared" si="90"/>
        <v>0</v>
      </c>
      <c r="N271" s="754">
        <f t="shared" si="90"/>
        <v>0</v>
      </c>
      <c r="O271" s="754">
        <f t="shared" si="90"/>
        <v>0</v>
      </c>
      <c r="P271" s="755"/>
      <c r="Q271" s="756"/>
      <c r="R271" s="559"/>
      <c r="T271" s="574"/>
      <c r="U271" s="561"/>
      <c r="V271" s="561"/>
    </row>
    <row r="272" spans="1:22" s="560" customFormat="1" ht="15" hidden="1" customHeight="1" x14ac:dyDescent="0.25">
      <c r="A272" s="751" t="s">
        <v>89</v>
      </c>
      <c r="B272" s="752"/>
      <c r="C272" s="753"/>
      <c r="D272" s="754">
        <f>D325</f>
        <v>0</v>
      </c>
      <c r="E272" s="754">
        <f t="shared" ref="E272:O272" si="91">E325</f>
        <v>0</v>
      </c>
      <c r="F272" s="754">
        <f t="shared" si="91"/>
        <v>0</v>
      </c>
      <c r="G272" s="754">
        <f t="shared" si="91"/>
        <v>0</v>
      </c>
      <c r="H272" s="754">
        <f t="shared" si="91"/>
        <v>0</v>
      </c>
      <c r="I272" s="754">
        <f t="shared" si="91"/>
        <v>0</v>
      </c>
      <c r="J272" s="754">
        <f t="shared" si="91"/>
        <v>0</v>
      </c>
      <c r="K272" s="754">
        <f t="shared" si="91"/>
        <v>0</v>
      </c>
      <c r="L272" s="754">
        <f t="shared" si="91"/>
        <v>0</v>
      </c>
      <c r="M272" s="754">
        <f t="shared" si="91"/>
        <v>0</v>
      </c>
      <c r="N272" s="754">
        <f t="shared" si="91"/>
        <v>0</v>
      </c>
      <c r="O272" s="754">
        <f t="shared" si="91"/>
        <v>0</v>
      </c>
      <c r="P272" s="755"/>
      <c r="Q272" s="756"/>
      <c r="R272" s="559"/>
      <c r="T272" s="574"/>
      <c r="U272" s="561"/>
      <c r="V272" s="561"/>
    </row>
    <row r="273" spans="1:22" s="560" customFormat="1" ht="15" hidden="1" customHeight="1" x14ac:dyDescent="0.25">
      <c r="A273" s="751" t="s">
        <v>90</v>
      </c>
      <c r="B273" s="752"/>
      <c r="C273" s="753"/>
      <c r="D273" s="754">
        <f>D327</f>
        <v>0</v>
      </c>
      <c r="E273" s="754">
        <f t="shared" ref="E273:O273" si="92">E327</f>
        <v>0</v>
      </c>
      <c r="F273" s="754">
        <f t="shared" si="92"/>
        <v>0</v>
      </c>
      <c r="G273" s="754">
        <f t="shared" si="92"/>
        <v>0</v>
      </c>
      <c r="H273" s="754">
        <f t="shared" si="92"/>
        <v>0</v>
      </c>
      <c r="I273" s="754">
        <f t="shared" si="92"/>
        <v>0</v>
      </c>
      <c r="J273" s="754">
        <f t="shared" si="92"/>
        <v>0</v>
      </c>
      <c r="K273" s="754">
        <f t="shared" si="92"/>
        <v>0</v>
      </c>
      <c r="L273" s="754">
        <f t="shared" si="92"/>
        <v>0</v>
      </c>
      <c r="M273" s="754">
        <f t="shared" si="92"/>
        <v>0</v>
      </c>
      <c r="N273" s="754">
        <f t="shared" si="92"/>
        <v>0</v>
      </c>
      <c r="O273" s="754">
        <f t="shared" si="92"/>
        <v>0</v>
      </c>
      <c r="P273" s="755"/>
      <c r="Q273" s="756"/>
      <c r="R273" s="559"/>
      <c r="T273" s="574"/>
      <c r="U273" s="561"/>
      <c r="V273" s="561"/>
    </row>
    <row r="274" spans="1:22" s="560" customFormat="1" ht="15" hidden="1" customHeight="1" x14ac:dyDescent="0.25">
      <c r="A274" s="751" t="s">
        <v>69</v>
      </c>
      <c r="B274" s="752"/>
      <c r="C274" s="753"/>
      <c r="D274" s="754">
        <f>D329</f>
        <v>1236414</v>
      </c>
      <c r="E274" s="754">
        <f t="shared" ref="E274:O274" si="93">E329</f>
        <v>1236414</v>
      </c>
      <c r="F274" s="754">
        <f t="shared" si="93"/>
        <v>1236414</v>
      </c>
      <c r="G274" s="754">
        <f t="shared" si="93"/>
        <v>1236414</v>
      </c>
      <c r="H274" s="754">
        <f t="shared" si="93"/>
        <v>1236414</v>
      </c>
      <c r="I274" s="754">
        <f t="shared" si="93"/>
        <v>1236414</v>
      </c>
      <c r="J274" s="754">
        <f t="shared" si="93"/>
        <v>1236414</v>
      </c>
      <c r="K274" s="754">
        <f t="shared" si="93"/>
        <v>1236414</v>
      </c>
      <c r="L274" s="754">
        <f t="shared" si="93"/>
        <v>1401475.2691666668</v>
      </c>
      <c r="M274" s="754">
        <f t="shared" si="93"/>
        <v>1401475.2691666668</v>
      </c>
      <c r="N274" s="754">
        <f t="shared" si="93"/>
        <v>1401475.2691666668</v>
      </c>
      <c r="O274" s="754">
        <f t="shared" si="93"/>
        <v>1401475.2691666668</v>
      </c>
      <c r="P274" s="755"/>
      <c r="Q274" s="756"/>
      <c r="R274" s="559"/>
      <c r="T274" s="574"/>
      <c r="U274" s="561"/>
      <c r="V274" s="561"/>
    </row>
    <row r="275" spans="1:22" s="560" customFormat="1" ht="15" hidden="1" customHeight="1" x14ac:dyDescent="0.25">
      <c r="A275" s="751" t="s">
        <v>381</v>
      </c>
      <c r="B275" s="752"/>
      <c r="C275" s="753"/>
      <c r="D275" s="754">
        <f>ROUND(SUM(D270:D274)/12,2)</f>
        <v>124500.02</v>
      </c>
      <c r="E275" s="754">
        <f t="shared" ref="E275:O275" si="94">ROUND(SUM(E270:E274)/12,2)</f>
        <v>124500.02</v>
      </c>
      <c r="F275" s="754">
        <f t="shared" si="94"/>
        <v>124500.02</v>
      </c>
      <c r="G275" s="754">
        <f t="shared" si="94"/>
        <v>124500.02</v>
      </c>
      <c r="H275" s="754">
        <f t="shared" si="94"/>
        <v>124500.02</v>
      </c>
      <c r="I275" s="754">
        <f t="shared" si="94"/>
        <v>124500.02</v>
      </c>
      <c r="J275" s="754">
        <f t="shared" si="94"/>
        <v>124500.02</v>
      </c>
      <c r="K275" s="754">
        <f t="shared" si="94"/>
        <v>124500.02</v>
      </c>
      <c r="L275" s="754">
        <f t="shared" si="94"/>
        <v>141120.76999999999</v>
      </c>
      <c r="M275" s="754">
        <f t="shared" si="94"/>
        <v>141120.76999999999</v>
      </c>
      <c r="N275" s="754">
        <f t="shared" si="94"/>
        <v>141120.76999999999</v>
      </c>
      <c r="O275" s="754">
        <f t="shared" si="94"/>
        <v>141120.76999999999</v>
      </c>
      <c r="P275" s="755"/>
      <c r="Q275" s="756"/>
      <c r="R275" s="559"/>
      <c r="T275" s="574"/>
      <c r="U275" s="561"/>
      <c r="V275" s="561"/>
    </row>
    <row r="276" spans="1:22" s="560" customFormat="1" ht="16.2" hidden="1" customHeight="1" x14ac:dyDescent="0.25">
      <c r="A276" s="757" t="s">
        <v>30</v>
      </c>
      <c r="B276" s="758"/>
      <c r="C276" s="759"/>
      <c r="D276" s="760">
        <f>SUM(D270:D275)</f>
        <v>1618500.27</v>
      </c>
      <c r="E276" s="760">
        <f>SUM(E270:E275)</f>
        <v>1618500.27</v>
      </c>
      <c r="F276" s="760">
        <f t="shared" ref="F276:O276" si="95">SUM(F270:F275)</f>
        <v>1618500.27</v>
      </c>
      <c r="G276" s="760">
        <f t="shared" si="95"/>
        <v>1618500.27</v>
      </c>
      <c r="H276" s="760">
        <f>SUM(H270:H275)</f>
        <v>1618500.27</v>
      </c>
      <c r="I276" s="760">
        <f t="shared" si="95"/>
        <v>1618500.27</v>
      </c>
      <c r="J276" s="760">
        <f t="shared" si="95"/>
        <v>1618500.27</v>
      </c>
      <c r="K276" s="760">
        <f t="shared" si="95"/>
        <v>1618500.27</v>
      </c>
      <c r="L276" s="760">
        <f t="shared" si="95"/>
        <v>1834570.0533333335</v>
      </c>
      <c r="M276" s="760">
        <f t="shared" si="95"/>
        <v>1834570.0533333335</v>
      </c>
      <c r="N276" s="760">
        <f t="shared" si="95"/>
        <v>1834570.0533333335</v>
      </c>
      <c r="O276" s="760">
        <f t="shared" si="95"/>
        <v>1834570.0533333335</v>
      </c>
      <c r="P276" s="761"/>
      <c r="Q276" s="756"/>
      <c r="T276" s="574"/>
      <c r="U276" s="561"/>
      <c r="V276" s="561"/>
    </row>
    <row r="277" spans="1:22" ht="18.600000000000001" customHeight="1" x14ac:dyDescent="0.25">
      <c r="A277" s="408" t="s">
        <v>105</v>
      </c>
      <c r="B277" s="409"/>
      <c r="C277" s="410"/>
      <c r="D277" s="25"/>
      <c r="E277" s="25"/>
      <c r="F277" s="25"/>
      <c r="G277" s="25"/>
      <c r="H277" s="25"/>
      <c r="I277" s="25"/>
      <c r="J277" s="25"/>
      <c r="K277" s="25"/>
      <c r="L277" s="25"/>
      <c r="M277" s="25"/>
      <c r="N277" s="25"/>
      <c r="O277" s="25"/>
      <c r="P277" s="12"/>
      <c r="Q277" s="89"/>
      <c r="R277" s="262" t="s">
        <v>126</v>
      </c>
      <c r="T277" s="176"/>
      <c r="U277" s="486"/>
      <c r="V277" s="486"/>
    </row>
    <row r="278" spans="1:22" ht="16.8" customHeight="1" x14ac:dyDescent="0.25">
      <c r="A278" s="187" t="s">
        <v>106</v>
      </c>
      <c r="B278" s="109"/>
      <c r="C278" s="109"/>
      <c r="D278" s="43">
        <f t="shared" ref="D278:O278" si="96">ROUND(D322,2)</f>
        <v>257586.25</v>
      </c>
      <c r="E278" s="43">
        <f t="shared" si="96"/>
        <v>515172.5</v>
      </c>
      <c r="F278" s="43">
        <f t="shared" si="96"/>
        <v>772758.75</v>
      </c>
      <c r="G278" s="43">
        <f t="shared" si="96"/>
        <v>1030345</v>
      </c>
      <c r="H278" s="43">
        <f t="shared" si="96"/>
        <v>1287931.25</v>
      </c>
      <c r="I278" s="43">
        <f t="shared" si="96"/>
        <v>1545517.5</v>
      </c>
      <c r="J278" s="43">
        <f t="shared" si="96"/>
        <v>1803103.75</v>
      </c>
      <c r="K278" s="43">
        <f t="shared" si="96"/>
        <v>2060690</v>
      </c>
      <c r="L278" s="43">
        <f t="shared" si="96"/>
        <v>2352664.0099999998</v>
      </c>
      <c r="M278" s="43">
        <f t="shared" si="96"/>
        <v>2644638.0299999998</v>
      </c>
      <c r="N278" s="43">
        <f t="shared" si="96"/>
        <v>2936612.04</v>
      </c>
      <c r="O278" s="43">
        <f t="shared" si="96"/>
        <v>3228586.06</v>
      </c>
      <c r="P278" s="467">
        <f>ROUND(MAX(0,IF($P$267&lt;R278,$P$267,R278)),2)</f>
        <v>0</v>
      </c>
      <c r="Q278" s="89"/>
      <c r="R278" s="263">
        <f>P321</f>
        <v>3503688.17</v>
      </c>
      <c r="T278" s="222">
        <f t="shared" ref="T278:T281" si="97">+P278</f>
        <v>0</v>
      </c>
      <c r="U278" s="486" t="s">
        <v>278</v>
      </c>
      <c r="V278" s="486"/>
    </row>
    <row r="279" spans="1:22" ht="16.8" customHeight="1" x14ac:dyDescent="0.25">
      <c r="A279" s="187" t="s">
        <v>107</v>
      </c>
      <c r="B279" s="109"/>
      <c r="C279" s="109"/>
      <c r="D279" s="43">
        <f>ROUND(D324,2)</f>
        <v>0</v>
      </c>
      <c r="E279" s="43">
        <f t="shared" ref="E279:O279" si="98">ROUND(E324,2)</f>
        <v>0</v>
      </c>
      <c r="F279" s="43">
        <f t="shared" si="98"/>
        <v>0</v>
      </c>
      <c r="G279" s="43">
        <f t="shared" si="98"/>
        <v>0</v>
      </c>
      <c r="H279" s="43">
        <f t="shared" si="98"/>
        <v>0</v>
      </c>
      <c r="I279" s="43">
        <f t="shared" si="98"/>
        <v>0</v>
      </c>
      <c r="J279" s="43">
        <f t="shared" si="98"/>
        <v>0</v>
      </c>
      <c r="K279" s="43">
        <f t="shared" si="98"/>
        <v>0</v>
      </c>
      <c r="L279" s="43">
        <f t="shared" si="98"/>
        <v>0</v>
      </c>
      <c r="M279" s="43">
        <f t="shared" si="98"/>
        <v>0</v>
      </c>
      <c r="N279" s="43">
        <f t="shared" si="98"/>
        <v>0</v>
      </c>
      <c r="O279" s="43">
        <f t="shared" si="98"/>
        <v>0</v>
      </c>
      <c r="P279" s="467">
        <f>ROUND(MAX(0,IF(P267-P278&lt;R279,P267-P278,R279)),2)</f>
        <v>0</v>
      </c>
      <c r="Q279" s="89"/>
      <c r="R279" s="263">
        <f>P323</f>
        <v>0</v>
      </c>
      <c r="T279" s="222">
        <f t="shared" si="97"/>
        <v>0</v>
      </c>
      <c r="U279" s="486" t="s">
        <v>279</v>
      </c>
      <c r="V279" s="486"/>
    </row>
    <row r="280" spans="1:22" ht="16.8" customHeight="1" x14ac:dyDescent="0.25">
      <c r="A280" s="187" t="s">
        <v>108</v>
      </c>
      <c r="B280" s="109"/>
      <c r="C280" s="109"/>
      <c r="D280" s="43">
        <f>ROUND(D326,2)</f>
        <v>0</v>
      </c>
      <c r="E280" s="43">
        <f t="shared" ref="E280:O280" si="99">ROUND(E326,2)</f>
        <v>0</v>
      </c>
      <c r="F280" s="43">
        <f t="shared" si="99"/>
        <v>0</v>
      </c>
      <c r="G280" s="43">
        <f t="shared" si="99"/>
        <v>0</v>
      </c>
      <c r="H280" s="43">
        <f t="shared" si="99"/>
        <v>0</v>
      </c>
      <c r="I280" s="43">
        <f t="shared" si="99"/>
        <v>0</v>
      </c>
      <c r="J280" s="43">
        <f t="shared" si="99"/>
        <v>0</v>
      </c>
      <c r="K280" s="43">
        <f t="shared" si="99"/>
        <v>0</v>
      </c>
      <c r="L280" s="43">
        <f t="shared" si="99"/>
        <v>0</v>
      </c>
      <c r="M280" s="43">
        <f t="shared" si="99"/>
        <v>0</v>
      </c>
      <c r="N280" s="43">
        <f t="shared" si="99"/>
        <v>0</v>
      </c>
      <c r="O280" s="43">
        <f t="shared" si="99"/>
        <v>0</v>
      </c>
      <c r="P280" s="467">
        <f>ROUND(MAX(0,IF(P267-P278-P279&lt;R280,P267-P278-P279,R280)),2)</f>
        <v>0</v>
      </c>
      <c r="Q280" s="89"/>
      <c r="R280" s="263">
        <f>P325</f>
        <v>0</v>
      </c>
      <c r="T280" s="222">
        <f t="shared" si="97"/>
        <v>0</v>
      </c>
      <c r="U280" s="486" t="s">
        <v>280</v>
      </c>
      <c r="V280" s="486"/>
    </row>
    <row r="281" spans="1:22" ht="16.8" customHeight="1" x14ac:dyDescent="0.25">
      <c r="A281" s="187" t="s">
        <v>109</v>
      </c>
      <c r="B281" s="109"/>
      <c r="C281" s="109"/>
      <c r="D281" s="43">
        <f>ROUND(D328,2)</f>
        <v>0</v>
      </c>
      <c r="E281" s="43">
        <f t="shared" ref="E281:O281" si="100">ROUND(E328,2)</f>
        <v>0</v>
      </c>
      <c r="F281" s="43">
        <f t="shared" si="100"/>
        <v>0</v>
      </c>
      <c r="G281" s="43">
        <f t="shared" si="100"/>
        <v>0</v>
      </c>
      <c r="H281" s="43">
        <f t="shared" si="100"/>
        <v>0</v>
      </c>
      <c r="I281" s="43">
        <f t="shared" si="100"/>
        <v>0</v>
      </c>
      <c r="J281" s="43">
        <f t="shared" si="100"/>
        <v>0</v>
      </c>
      <c r="K281" s="43">
        <f t="shared" si="100"/>
        <v>0</v>
      </c>
      <c r="L281" s="43">
        <f t="shared" si="100"/>
        <v>0</v>
      </c>
      <c r="M281" s="43">
        <f t="shared" si="100"/>
        <v>0</v>
      </c>
      <c r="N281" s="43">
        <f t="shared" si="100"/>
        <v>0</v>
      </c>
      <c r="O281" s="43">
        <f t="shared" si="100"/>
        <v>0</v>
      </c>
      <c r="P281" s="467">
        <f>ROUND(MAX(0,IF(P267-P278-P279-P280&lt;R281,P267-P278-P279-P280,R281)),2)</f>
        <v>0</v>
      </c>
      <c r="Q281" s="89"/>
      <c r="R281" s="263">
        <f>P327</f>
        <v>0</v>
      </c>
      <c r="T281" s="222">
        <f t="shared" si="97"/>
        <v>0</v>
      </c>
      <c r="U281" s="486" t="s">
        <v>280</v>
      </c>
      <c r="V281" s="486"/>
    </row>
    <row r="282" spans="1:22" ht="16.8" customHeight="1" x14ac:dyDescent="0.25">
      <c r="A282" s="187" t="s">
        <v>110</v>
      </c>
      <c r="B282" s="109"/>
      <c r="C282" s="109"/>
      <c r="D282" s="43">
        <f>ROUND(D330,2)</f>
        <v>1236414</v>
      </c>
      <c r="E282" s="43">
        <f t="shared" ref="E282:O282" si="101">ROUND(E330,2)</f>
        <v>2472828</v>
      </c>
      <c r="F282" s="43">
        <f t="shared" si="101"/>
        <v>3709242</v>
      </c>
      <c r="G282" s="43">
        <f t="shared" si="101"/>
        <v>4945656</v>
      </c>
      <c r="H282" s="43">
        <f t="shared" si="101"/>
        <v>6182070</v>
      </c>
      <c r="I282" s="43">
        <f t="shared" si="101"/>
        <v>7418484</v>
      </c>
      <c r="J282" s="43">
        <f t="shared" si="101"/>
        <v>8654898</v>
      </c>
      <c r="K282" s="43">
        <f t="shared" si="101"/>
        <v>9891312</v>
      </c>
      <c r="L282" s="43">
        <f t="shared" si="101"/>
        <v>11292787.27</v>
      </c>
      <c r="M282" s="43">
        <f t="shared" si="101"/>
        <v>12694262.539999999</v>
      </c>
      <c r="N282" s="43">
        <f t="shared" si="101"/>
        <v>14095737.810000001</v>
      </c>
      <c r="O282" s="43">
        <f t="shared" si="101"/>
        <v>15497213.08</v>
      </c>
      <c r="P282" s="467">
        <f>ROUND(MAX(0,IF(P267-P278-P279-P280-P281&lt;R282,P267-P278-P279-P280-P281,R282)),2)</f>
        <v>0</v>
      </c>
      <c r="Q282" s="89"/>
      <c r="R282" s="263">
        <f>P329</f>
        <v>16817703.23</v>
      </c>
      <c r="T282" s="222">
        <f>+P282</f>
        <v>0</v>
      </c>
      <c r="U282" s="486" t="s">
        <v>281</v>
      </c>
      <c r="V282" s="486"/>
    </row>
    <row r="283" spans="1:22" ht="16.8" customHeight="1" x14ac:dyDescent="0.25">
      <c r="A283" s="187" t="s">
        <v>382</v>
      </c>
      <c r="B283" s="109"/>
      <c r="C283" s="109"/>
      <c r="D283" s="43">
        <f>ROUND(SUM(D278:D282)/12,2)</f>
        <v>124500.02</v>
      </c>
      <c r="E283" s="43">
        <f t="shared" ref="E283:O283" si="102">ROUND(SUM(E278:E282)/12,2)</f>
        <v>249000.04</v>
      </c>
      <c r="F283" s="43">
        <f t="shared" si="102"/>
        <v>373500.06</v>
      </c>
      <c r="G283" s="43">
        <f t="shared" si="102"/>
        <v>498000.08</v>
      </c>
      <c r="H283" s="43">
        <f t="shared" si="102"/>
        <v>622500.1</v>
      </c>
      <c r="I283" s="43">
        <f t="shared" si="102"/>
        <v>747000.13</v>
      </c>
      <c r="J283" s="43">
        <f t="shared" si="102"/>
        <v>871500.15</v>
      </c>
      <c r="K283" s="43">
        <f t="shared" si="102"/>
        <v>996000.17</v>
      </c>
      <c r="L283" s="43">
        <f t="shared" si="102"/>
        <v>1137120.94</v>
      </c>
      <c r="M283" s="43">
        <f t="shared" si="102"/>
        <v>1278241.71</v>
      </c>
      <c r="N283" s="43">
        <f t="shared" si="102"/>
        <v>1419362.49</v>
      </c>
      <c r="O283" s="624">
        <f t="shared" si="102"/>
        <v>1560483.26</v>
      </c>
      <c r="P283" s="467">
        <f>ROUND(MAX(0,IF(P267-P278-P279-P280-P281-P282&lt;R283,P267-P278-P279-P280-P281-P282,R283)),2)</f>
        <v>0</v>
      </c>
      <c r="Q283" s="89"/>
      <c r="R283" s="263">
        <f>ROUND(SUM(R278:R282)/12,2)</f>
        <v>1693449.28</v>
      </c>
      <c r="T283" s="222">
        <f>+P283</f>
        <v>0</v>
      </c>
      <c r="U283" s="486" t="s">
        <v>367</v>
      </c>
      <c r="V283" s="486"/>
    </row>
    <row r="284" spans="1:22" ht="16.8" customHeight="1" thickBot="1" x14ac:dyDescent="0.3">
      <c r="A284" s="187"/>
      <c r="B284" s="109"/>
      <c r="C284" s="109"/>
      <c r="D284" s="43"/>
      <c r="E284" s="43"/>
      <c r="F284" s="43"/>
      <c r="G284" s="43"/>
      <c r="H284" s="43"/>
      <c r="I284" s="43"/>
      <c r="J284" s="43"/>
      <c r="K284" s="43"/>
      <c r="L284" s="43"/>
      <c r="M284" s="43"/>
      <c r="N284" s="43"/>
      <c r="O284" s="624"/>
      <c r="P284" s="467">
        <f>ROUND(MAX(0,IF(P267-P278-P279-P280-P281-P282-P283&lt;R284,P267-P278-P279-P280-P281-P282-P283,R284)),2)</f>
        <v>0</v>
      </c>
      <c r="Q284" s="89"/>
      <c r="R284" s="263">
        <f>SUM(D284:O284)</f>
        <v>0</v>
      </c>
      <c r="T284" s="222">
        <f>+P284</f>
        <v>0</v>
      </c>
      <c r="U284" s="486"/>
      <c r="V284" s="486"/>
    </row>
    <row r="285" spans="1:22" ht="22.8" customHeight="1" thickBot="1" x14ac:dyDescent="0.3">
      <c r="A285" s="411" t="s">
        <v>31</v>
      </c>
      <c r="B285" s="412"/>
      <c r="C285" s="413"/>
      <c r="D285" s="414">
        <f>ROUND(SUM(D278:D284),2)</f>
        <v>1618500.27</v>
      </c>
      <c r="E285" s="414">
        <f t="shared" ref="E285:O285" si="103">ROUND(SUM(E278:E284),2)</f>
        <v>3237000.54</v>
      </c>
      <c r="F285" s="414">
        <f t="shared" si="103"/>
        <v>4855500.8099999996</v>
      </c>
      <c r="G285" s="414">
        <f t="shared" si="103"/>
        <v>6474001.0800000001</v>
      </c>
      <c r="H285" s="414">
        <f t="shared" si="103"/>
        <v>8092501.3499999996</v>
      </c>
      <c r="I285" s="414">
        <f t="shared" si="103"/>
        <v>9711001.6300000008</v>
      </c>
      <c r="J285" s="414">
        <f t="shared" si="103"/>
        <v>11329501.9</v>
      </c>
      <c r="K285" s="414">
        <f t="shared" si="103"/>
        <v>12948002.17</v>
      </c>
      <c r="L285" s="414">
        <f t="shared" si="103"/>
        <v>14782572.220000001</v>
      </c>
      <c r="M285" s="414">
        <f t="shared" si="103"/>
        <v>16617142.279999999</v>
      </c>
      <c r="N285" s="414">
        <f t="shared" si="103"/>
        <v>18451712.34</v>
      </c>
      <c r="O285" s="414">
        <f t="shared" si="103"/>
        <v>20286282.399999999</v>
      </c>
      <c r="P285" s="468">
        <f>ROUND(SUM(P278:P284),2)</f>
        <v>0</v>
      </c>
      <c r="Q285" s="469"/>
      <c r="T285" s="223">
        <f>+P285</f>
        <v>0</v>
      </c>
      <c r="U285" s="490" t="s">
        <v>282</v>
      </c>
      <c r="V285" s="486"/>
    </row>
    <row r="286" spans="1:22" ht="6" customHeight="1" thickBot="1" x14ac:dyDescent="0.3">
      <c r="A286" s="319"/>
      <c r="B286" s="382"/>
      <c r="C286" s="382"/>
      <c r="D286" s="3"/>
      <c r="E286" s="3"/>
      <c r="F286" s="3"/>
      <c r="G286" s="3"/>
      <c r="H286" s="3"/>
      <c r="I286" s="3"/>
      <c r="J286" s="3"/>
      <c r="K286" s="3"/>
      <c r="L286" s="3"/>
      <c r="M286" s="3"/>
      <c r="N286" s="3"/>
      <c r="O286" s="3"/>
      <c r="P286" s="4"/>
      <c r="Q286" s="6"/>
      <c r="T286" s="176"/>
      <c r="U286" s="486"/>
      <c r="V286" s="486"/>
    </row>
    <row r="287" spans="1:22" s="635" customFormat="1" ht="18" hidden="1" customHeight="1" thickBot="1" x14ac:dyDescent="0.3">
      <c r="A287" s="766" t="s">
        <v>32</v>
      </c>
      <c r="B287" s="767"/>
      <c r="C287" s="767"/>
      <c r="D287" s="768">
        <f>ROUND(D265-D276,2)</f>
        <v>-1618500.27</v>
      </c>
      <c r="E287" s="768">
        <f t="shared" ref="E287:O287" si="104">ROUND(E265-E276,2)</f>
        <v>-1618500.27</v>
      </c>
      <c r="F287" s="768">
        <f t="shared" si="104"/>
        <v>-1618500.27</v>
      </c>
      <c r="G287" s="768">
        <f t="shared" si="104"/>
        <v>-1618500.27</v>
      </c>
      <c r="H287" s="768">
        <f t="shared" si="104"/>
        <v>-1618500.27</v>
      </c>
      <c r="I287" s="768">
        <f t="shared" si="104"/>
        <v>-1618500.27</v>
      </c>
      <c r="J287" s="768">
        <f t="shared" si="104"/>
        <v>-1618500.27</v>
      </c>
      <c r="K287" s="768">
        <f t="shared" si="104"/>
        <v>-1618500.27</v>
      </c>
      <c r="L287" s="768">
        <f t="shared" si="104"/>
        <v>-1834570.05</v>
      </c>
      <c r="M287" s="768">
        <f t="shared" si="104"/>
        <v>-1834570.05</v>
      </c>
      <c r="N287" s="768">
        <f t="shared" si="104"/>
        <v>-1834570.05</v>
      </c>
      <c r="O287" s="768">
        <f t="shared" si="104"/>
        <v>-1834570.05</v>
      </c>
      <c r="P287" s="769"/>
      <c r="Q287" s="770"/>
      <c r="T287" s="771"/>
      <c r="U287" s="634"/>
      <c r="V287" s="634"/>
    </row>
    <row r="288" spans="1:22" ht="23.4" customHeight="1" thickBot="1" x14ac:dyDescent="0.3">
      <c r="A288" s="415" t="s">
        <v>33</v>
      </c>
      <c r="B288" s="416"/>
      <c r="C288" s="417"/>
      <c r="D288" s="418">
        <f t="shared" ref="D288:O288" si="105">ROUND(IF((D267-D285)&lt;0,0,(D267-D285)),2)</f>
        <v>0</v>
      </c>
      <c r="E288" s="418">
        <f t="shared" si="105"/>
        <v>0</v>
      </c>
      <c r="F288" s="418">
        <f t="shared" si="105"/>
        <v>0</v>
      </c>
      <c r="G288" s="418">
        <f t="shared" si="105"/>
        <v>0</v>
      </c>
      <c r="H288" s="418">
        <f t="shared" si="105"/>
        <v>0</v>
      </c>
      <c r="I288" s="418">
        <f t="shared" si="105"/>
        <v>0</v>
      </c>
      <c r="J288" s="418">
        <f t="shared" si="105"/>
        <v>0</v>
      </c>
      <c r="K288" s="418">
        <f t="shared" si="105"/>
        <v>0</v>
      </c>
      <c r="L288" s="418">
        <f t="shared" si="105"/>
        <v>0</v>
      </c>
      <c r="M288" s="418">
        <f t="shared" si="105"/>
        <v>0</v>
      </c>
      <c r="N288" s="418">
        <f t="shared" si="105"/>
        <v>0</v>
      </c>
      <c r="O288" s="418">
        <f t="shared" si="105"/>
        <v>0</v>
      </c>
      <c r="P288" s="470">
        <f>ROUND(IF(P267-P285&lt;0,0,P267-P285),2)</f>
        <v>0</v>
      </c>
      <c r="Q288" s="5"/>
      <c r="R288" s="224">
        <f>P288-O288</f>
        <v>0</v>
      </c>
      <c r="S288" s="17" t="s">
        <v>34</v>
      </c>
      <c r="T288" s="222">
        <f>+P288</f>
        <v>0</v>
      </c>
      <c r="U288" s="490" t="s">
        <v>283</v>
      </c>
      <c r="V288" s="486"/>
    </row>
    <row r="289" spans="1:22" s="635" customFormat="1" ht="16.8" hidden="1" customHeight="1" thickBot="1" x14ac:dyDescent="0.3">
      <c r="A289" s="625" t="s">
        <v>94</v>
      </c>
      <c r="B289" s="626"/>
      <c r="C289" s="627"/>
      <c r="D289" s="628">
        <f>+(D128-D128*Tablas!D41)+(D161-D161*$C$93/100)</f>
        <v>0</v>
      </c>
      <c r="E289" s="628">
        <f>+(E128-E128*Tablas!E41)+(E161-E161*$C$93/100)</f>
        <v>0</v>
      </c>
      <c r="F289" s="628">
        <f>+(F128-F128*Tablas!F41)+(F161-F161*$C$93/100)</f>
        <v>0</v>
      </c>
      <c r="G289" s="628">
        <f>+(G128-G128*Tablas!G41)+(G161-G161*$C$93/100)</f>
        <v>0</v>
      </c>
      <c r="H289" s="628">
        <f>+(H128-H128*Tablas!H41)+(H161-H161*$C$93/100)</f>
        <v>0</v>
      </c>
      <c r="I289" s="628">
        <f>+(I128-I128*Tablas!I41)+(I161-I161*$C$93/100)</f>
        <v>0</v>
      </c>
      <c r="J289" s="628">
        <f>+(J128-J128*Tablas!J41)+(J161-J161*$C$93/100)</f>
        <v>0</v>
      </c>
      <c r="K289" s="628">
        <f>+(K128-K128*Tablas!K41)+(K161-K161*$C$93/100)</f>
        <v>0</v>
      </c>
      <c r="L289" s="628">
        <f>+(L128-L128*Tablas!L41)+(L161-L161*$C$93/100)</f>
        <v>0</v>
      </c>
      <c r="M289" s="628">
        <f>+(M128-M128*Tablas!M41)+(M161-M161*$C$93/100)</f>
        <v>0</v>
      </c>
      <c r="N289" s="628">
        <f>+(N128-N128*Tablas!N41)+(N161-N161*$C$93/100)</f>
        <v>0</v>
      </c>
      <c r="O289" s="628">
        <f>+(O128-O128*Tablas!O41)+(O161-O161*$C$93/100)</f>
        <v>0</v>
      </c>
      <c r="P289" s="629"/>
      <c r="Q289" s="630"/>
      <c r="R289" s="631"/>
      <c r="S289" s="632"/>
      <c r="T289" s="633"/>
      <c r="U289" s="634"/>
      <c r="V289" s="634"/>
    </row>
    <row r="290" spans="1:22" s="635" customFormat="1" ht="18" hidden="1" customHeight="1" thickBot="1" x14ac:dyDescent="0.3">
      <c r="A290" s="625" t="s">
        <v>93</v>
      </c>
      <c r="B290" s="626"/>
      <c r="C290" s="627"/>
      <c r="D290" s="628">
        <f>+D289</f>
        <v>0</v>
      </c>
      <c r="E290" s="628">
        <f t="shared" ref="E290:L290" si="106">+E289+D290</f>
        <v>0</v>
      </c>
      <c r="F290" s="628">
        <f t="shared" si="106"/>
        <v>0</v>
      </c>
      <c r="G290" s="628">
        <f t="shared" si="106"/>
        <v>0</v>
      </c>
      <c r="H290" s="628">
        <f t="shared" si="106"/>
        <v>0</v>
      </c>
      <c r="I290" s="628">
        <f t="shared" si="106"/>
        <v>0</v>
      </c>
      <c r="J290" s="628">
        <f t="shared" si="106"/>
        <v>0</v>
      </c>
      <c r="K290" s="628">
        <f t="shared" si="106"/>
        <v>0</v>
      </c>
      <c r="L290" s="628">
        <f t="shared" si="106"/>
        <v>0</v>
      </c>
      <c r="M290" s="628">
        <f t="shared" ref="M290" si="107">+M289+L290</f>
        <v>0</v>
      </c>
      <c r="N290" s="628">
        <f t="shared" ref="N290" si="108">+N289+M290</f>
        <v>0</v>
      </c>
      <c r="O290" s="628">
        <f t="shared" ref="O290" si="109">+O289+N290</f>
        <v>0</v>
      </c>
      <c r="P290" s="636">
        <f>ROUND(SUM(D289:O289),2)</f>
        <v>0</v>
      </c>
      <c r="Q290" s="637"/>
      <c r="R290" s="631"/>
      <c r="S290" s="632"/>
      <c r="T290" s="633"/>
      <c r="U290" s="634"/>
      <c r="V290" s="634"/>
    </row>
    <row r="291" spans="1:22" s="635" customFormat="1" ht="18" hidden="1" customHeight="1" thickBot="1" x14ac:dyDescent="0.3">
      <c r="A291" s="625" t="s">
        <v>95</v>
      </c>
      <c r="B291" s="626"/>
      <c r="C291" s="627"/>
      <c r="D291" s="638">
        <f>IF((D288-D290)&lt;0,0,(D288-D290))</f>
        <v>0</v>
      </c>
      <c r="E291" s="638">
        <f t="shared" ref="E291:L291" si="110">IF((E288-E290)&lt;0,0,(E288-E290))</f>
        <v>0</v>
      </c>
      <c r="F291" s="638">
        <f t="shared" si="110"/>
        <v>0</v>
      </c>
      <c r="G291" s="638">
        <f t="shared" si="110"/>
        <v>0</v>
      </c>
      <c r="H291" s="638">
        <f t="shared" si="110"/>
        <v>0</v>
      </c>
      <c r="I291" s="638">
        <f t="shared" si="110"/>
        <v>0</v>
      </c>
      <c r="J291" s="638">
        <f t="shared" si="110"/>
        <v>0</v>
      </c>
      <c r="K291" s="638">
        <f t="shared" si="110"/>
        <v>0</v>
      </c>
      <c r="L291" s="638">
        <f t="shared" si="110"/>
        <v>0</v>
      </c>
      <c r="M291" s="638">
        <f>IF((M288-M290)&lt;0,0,(M288-M290))</f>
        <v>0</v>
      </c>
      <c r="N291" s="638">
        <f>IF((N288-N290)&lt;0,0,(N288-N290))</f>
        <v>0</v>
      </c>
      <c r="O291" s="638">
        <f>IF((O288-O290)&lt;0,0,(O288-O290))</f>
        <v>0</v>
      </c>
      <c r="P291" s="636">
        <f>ROUND(IF(P288-P290&lt;0,0,P288-P290),2)</f>
        <v>0</v>
      </c>
      <c r="Q291" s="637"/>
      <c r="R291" s="631"/>
      <c r="S291" s="632"/>
      <c r="T291" s="639">
        <f>IF(P288=0,0%,VLOOKUP(P288,Tablas!AM47:AO55,3,TRUE))</f>
        <v>0</v>
      </c>
      <c r="U291" s="634" t="s">
        <v>284</v>
      </c>
      <c r="V291" s="634"/>
    </row>
    <row r="292" spans="1:22" ht="18" customHeight="1" thickBot="1" x14ac:dyDescent="0.3">
      <c r="A292" s="419" t="s">
        <v>374</v>
      </c>
      <c r="B292" s="420"/>
      <c r="C292" s="421"/>
      <c r="D292" s="422">
        <f>IF(D288=0,0%,VLOOKUP(D288,Tablas!C47:E55,3,TRUE))</f>
        <v>0</v>
      </c>
      <c r="E292" s="422">
        <f>IF(E288=0,0%,VLOOKUP(E288,Tablas!F47:H55,3,TRUE))</f>
        <v>0</v>
      </c>
      <c r="F292" s="422">
        <f>IF(F288=0,0%,VLOOKUP(F288,Tablas!I47:K55,3,TRUE))</f>
        <v>0</v>
      </c>
      <c r="G292" s="422">
        <f>IF(G288=0,0%,VLOOKUP(G288,Tablas!L47:N55,3,TRUE))</f>
        <v>0</v>
      </c>
      <c r="H292" s="422">
        <f>IF(H288=0,0%,VLOOKUP(H288,Tablas!O47:Q55,3,TRUE))</f>
        <v>0</v>
      </c>
      <c r="I292" s="422">
        <f>IF(I288=0,0%,VLOOKUP(I288,Tablas!R47:T55,3,TRUE))</f>
        <v>0</v>
      </c>
      <c r="J292" s="422">
        <f>IF(J288=0,0%,VLOOKUP(J288,Tablas!U47:W55,3,TRUE))</f>
        <v>0</v>
      </c>
      <c r="K292" s="422">
        <f>IF(K288=0,0%,VLOOKUP(K288,Tablas!X47:Z55,3,TRUE))</f>
        <v>0</v>
      </c>
      <c r="L292" s="422">
        <f>IF(L288=0,0%,VLOOKUP(L288,Tablas!AA47:AC55,3,TRUE))</f>
        <v>0</v>
      </c>
      <c r="M292" s="422">
        <f>IF(M288=0,0%,VLOOKUP(M288,Tablas!AD47:AF55,3,TRUE))</f>
        <v>0</v>
      </c>
      <c r="N292" s="422">
        <f>IF(N288=0,0%,VLOOKUP(N288,Tablas!AG47:AI55,3,TRUE))</f>
        <v>0</v>
      </c>
      <c r="O292" s="422">
        <f>IF(O288=0,0%,VLOOKUP(O288,Tablas!AJ47:AL55,3,TRUE))</f>
        <v>0</v>
      </c>
      <c r="P292" s="532">
        <f>IF(P288=0,0%,VLOOKUP(P288,Tablas!AM47:AO55,3,TRUE))</f>
        <v>0</v>
      </c>
      <c r="Q292" s="527"/>
      <c r="R292" s="224"/>
      <c r="S292" s="17"/>
      <c r="T292" s="265">
        <f>P292</f>
        <v>0</v>
      </c>
      <c r="U292" s="486" t="s">
        <v>284</v>
      </c>
      <c r="V292" s="486"/>
    </row>
    <row r="293" spans="1:22" ht="27" customHeight="1" thickBot="1" x14ac:dyDescent="0.3">
      <c r="A293" s="423" t="s">
        <v>35</v>
      </c>
      <c r="B293" s="424"/>
      <c r="C293" s="425"/>
      <c r="D293" s="426">
        <f>ROUND(VLOOKUP(D288,Tablas!$C$47:$E$55,2,1)+(D288-VLOOKUP(D288,Tablas!$C$47:$E$55,1,1))*VLOOKUP(D288,Tablas!$C$47:$E$55,3,1),2)</f>
        <v>0</v>
      </c>
      <c r="E293" s="426">
        <f>ROUND(VLOOKUP(E288,Tablas!F47:H55,2,1)+(E288-VLOOKUP(E288,Tablas!F47:H55,1,1))*VLOOKUP(E288,Tablas!F47:H55,3,1),2)</f>
        <v>0</v>
      </c>
      <c r="F293" s="426">
        <f>ROUND(VLOOKUP(F288,Tablas!I47:K55,2,1)+(F288-VLOOKUP(F288,Tablas!I47:K55,1,1))*VLOOKUP(F288,Tablas!I47:K55,3,1),2)</f>
        <v>0</v>
      </c>
      <c r="G293" s="426">
        <f>ROUND(VLOOKUP(G288,Tablas!L47:N55,2,1)+(G288-VLOOKUP(G288,Tablas!L47:N55,1,1))*VLOOKUP(G288,Tablas!L47:N55,3,1),2)</f>
        <v>0</v>
      </c>
      <c r="H293" s="426">
        <f>ROUND(VLOOKUP(H288,Tablas!O47:Q55,2,1)+(H288-VLOOKUP(H288,Tablas!O47:Q55,1,1))*VLOOKUP(H288,Tablas!O47:Q55,3,1),2)</f>
        <v>0</v>
      </c>
      <c r="I293" s="426">
        <f>ROUND(VLOOKUP(I288,Tablas!R47:T55,2,1)+(I288-VLOOKUP(I288,Tablas!R47:T55,1,1))*VLOOKUP(I288,Tablas!R47:T55,3,1),2)</f>
        <v>0</v>
      </c>
      <c r="J293" s="426">
        <f>ROUND(VLOOKUP(J288,Tablas!U47:W55,2,1)+(J288-VLOOKUP(J288,Tablas!U47:W55,1,1))*VLOOKUP(J288,Tablas!U47:W55,3,1),2)</f>
        <v>0</v>
      </c>
      <c r="K293" s="426">
        <f>ROUND(VLOOKUP(K288,Tablas!X47:Z55,2,1)+(K288-VLOOKUP(K288,Tablas!X47:Z55,1,1))*VLOOKUP(K288,Tablas!X47:Z55,3,1),2)</f>
        <v>0</v>
      </c>
      <c r="L293" s="426">
        <f>ROUND(VLOOKUP(L288,Tablas!AA47:AC55,2,1)+(L288-VLOOKUP(L288,Tablas!AA47:AC55,1,1))*VLOOKUP(L288,Tablas!AA47:AC55,3,1),2)</f>
        <v>0</v>
      </c>
      <c r="M293" s="426">
        <f>ROUND(VLOOKUP(M288,Tablas!AD47:AF55,2,1)+(M288-VLOOKUP(M288,Tablas!AD47:AF55,1,1))*VLOOKUP(M288,Tablas!AD47:AF55,3,1),2)</f>
        <v>0</v>
      </c>
      <c r="N293" s="426">
        <f>ROUND(VLOOKUP(N288,Tablas!AG47:AI55,2,1)+(N288-VLOOKUP(N288,Tablas!AG47:AI55,1,1))*VLOOKUP(N288,Tablas!AG47:AI55,3,1),2)</f>
        <v>0</v>
      </c>
      <c r="O293" s="426">
        <f>ROUND(VLOOKUP(O288,Tablas!AJ47:AL55,2,1)+(O288-VLOOKUP(O288,Tablas!AJ47:AL55,1,1))*VLOOKUP(O288,Tablas!AJ47:AL55,3,1),2)</f>
        <v>0</v>
      </c>
      <c r="P293" s="675">
        <f>ROUND(VLOOKUP(P288,Tablas!AM47:AO55,2,1)+(P288-VLOOKUP(P288,Tablas!AM47:AO55,1,1))*VLOOKUP(P288,Tablas!AM47:AO55,3,1),2)</f>
        <v>0</v>
      </c>
      <c r="Q293" s="533"/>
      <c r="R293" s="266"/>
      <c r="T293" s="264">
        <f>+P293</f>
        <v>0</v>
      </c>
      <c r="U293" s="490" t="s">
        <v>285</v>
      </c>
      <c r="V293" s="486"/>
    </row>
    <row r="294" spans="1:22" ht="4.8" customHeight="1" x14ac:dyDescent="0.25">
      <c r="A294" s="427"/>
      <c r="B294" s="428"/>
      <c r="C294" s="361"/>
      <c r="D294" s="14"/>
      <c r="E294" s="14"/>
      <c r="F294" s="14"/>
      <c r="G294" s="14"/>
      <c r="H294" s="14"/>
      <c r="I294" s="14"/>
      <c r="J294" s="14"/>
      <c r="K294" s="14"/>
      <c r="L294" s="14"/>
      <c r="M294" s="14"/>
      <c r="N294" s="14"/>
      <c r="O294" s="14"/>
      <c r="P294" s="46"/>
      <c r="Q294" s="121"/>
      <c r="R294" s="266"/>
      <c r="T294" s="176"/>
      <c r="U294" s="486"/>
      <c r="V294" s="486"/>
    </row>
    <row r="295" spans="1:22" ht="19.8" customHeight="1" x14ac:dyDescent="0.25">
      <c r="A295" s="267" t="s">
        <v>375</v>
      </c>
      <c r="B295" s="183"/>
      <c r="C295" s="62"/>
      <c r="D295" s="55"/>
      <c r="E295" s="55"/>
      <c r="F295" s="55"/>
      <c r="G295" s="55"/>
      <c r="H295" s="55"/>
      <c r="I295" s="55"/>
      <c r="J295" s="55">
        <f>IF($J$2="SI",Parametros!B18,0)</f>
        <v>0</v>
      </c>
      <c r="K295" s="55">
        <f>IF(J2="NO",Parametros!B18,J295)</f>
        <v>0</v>
      </c>
      <c r="L295" s="55">
        <f>+K295</f>
        <v>0</v>
      </c>
      <c r="M295" s="55">
        <f>+L295</f>
        <v>0</v>
      </c>
      <c r="N295" s="55">
        <f>+M295</f>
        <v>0</v>
      </c>
      <c r="O295" s="55">
        <f>+N295</f>
        <v>0</v>
      </c>
      <c r="P295" s="540">
        <f>ROUND(S307,2)+O295</f>
        <v>0</v>
      </c>
      <c r="Q295" s="530" t="s">
        <v>345</v>
      </c>
      <c r="R295" s="268"/>
      <c r="T295" s="176"/>
      <c r="U295" s="486"/>
      <c r="V295" s="486"/>
    </row>
    <row r="296" spans="1:22" ht="17.399999999999999" customHeight="1" thickBot="1" x14ac:dyDescent="0.3">
      <c r="A296" s="786" t="s">
        <v>36</v>
      </c>
      <c r="B296" s="787"/>
      <c r="C296" s="788"/>
      <c r="D296" s="789">
        <f>ROUND(IF(D293&lt;0,0,D293),2)</f>
        <v>0</v>
      </c>
      <c r="E296" s="789">
        <f t="shared" ref="E296:P296" si="111">ROUND(IF(E293-D293&lt;0,0,E293-D293),2)</f>
        <v>0</v>
      </c>
      <c r="F296" s="789">
        <f t="shared" si="111"/>
        <v>0</v>
      </c>
      <c r="G296" s="789">
        <f t="shared" si="111"/>
        <v>0</v>
      </c>
      <c r="H296" s="789">
        <f t="shared" si="111"/>
        <v>0</v>
      </c>
      <c r="I296" s="789">
        <f t="shared" si="111"/>
        <v>0</v>
      </c>
      <c r="J296" s="789">
        <f>ROUND(IF(J293-I293&lt;0,0,J293-I293),2)</f>
        <v>0</v>
      </c>
      <c r="K296" s="789">
        <f>ROUND(IF(K293-J293&lt;0,0,K293-J293),2)</f>
        <v>0</v>
      </c>
      <c r="L296" s="789">
        <f t="shared" si="111"/>
        <v>0</v>
      </c>
      <c r="M296" s="789">
        <f t="shared" si="111"/>
        <v>0</v>
      </c>
      <c r="N296" s="789">
        <f t="shared" si="111"/>
        <v>0</v>
      </c>
      <c r="O296" s="789">
        <f t="shared" si="111"/>
        <v>0</v>
      </c>
      <c r="P296" s="650">
        <f t="shared" si="111"/>
        <v>0</v>
      </c>
      <c r="Q296" s="251"/>
      <c r="R296" s="269"/>
      <c r="T296" s="222">
        <f>+S302</f>
        <v>0</v>
      </c>
      <c r="U296" s="486" t="s">
        <v>286</v>
      </c>
      <c r="V296" s="486"/>
    </row>
    <row r="297" spans="1:22" ht="5.25" customHeight="1" x14ac:dyDescent="0.25">
      <c r="A297" s="429"/>
      <c r="B297" s="430"/>
      <c r="C297" s="431"/>
      <c r="D297" s="13"/>
      <c r="E297" s="13"/>
      <c r="F297" s="13"/>
      <c r="G297" s="13"/>
      <c r="H297" s="13"/>
      <c r="I297" s="13"/>
      <c r="J297" s="13"/>
      <c r="K297" s="13"/>
      <c r="L297" s="13"/>
      <c r="M297" s="13"/>
      <c r="N297" s="13"/>
      <c r="O297" s="45"/>
      <c r="P297" s="651"/>
      <c r="Q297" s="179"/>
      <c r="T297" s="176"/>
      <c r="U297" s="486"/>
      <c r="V297" s="486"/>
    </row>
    <row r="298" spans="1:22" ht="16.2" customHeight="1" thickBot="1" x14ac:dyDescent="0.3">
      <c r="A298" s="790" t="s">
        <v>37</v>
      </c>
      <c r="B298" s="791"/>
      <c r="C298" s="792"/>
      <c r="D298" s="793">
        <f>ROUND(IF(D293&gt;=0,0,D293),2)</f>
        <v>0</v>
      </c>
      <c r="E298" s="793">
        <f t="shared" ref="E298:P298" si="112">ROUND(IF(E293-D293&gt;=0,0,E293-D293),2)</f>
        <v>0</v>
      </c>
      <c r="F298" s="793">
        <f t="shared" si="112"/>
        <v>0</v>
      </c>
      <c r="G298" s="793">
        <f t="shared" si="112"/>
        <v>0</v>
      </c>
      <c r="H298" s="793">
        <f t="shared" si="112"/>
        <v>0</v>
      </c>
      <c r="I298" s="793">
        <f t="shared" si="112"/>
        <v>0</v>
      </c>
      <c r="J298" s="793">
        <f t="shared" si="112"/>
        <v>0</v>
      </c>
      <c r="K298" s="793">
        <f t="shared" si="112"/>
        <v>0</v>
      </c>
      <c r="L298" s="793">
        <f t="shared" si="112"/>
        <v>0</v>
      </c>
      <c r="M298" s="793">
        <f t="shared" si="112"/>
        <v>0</v>
      </c>
      <c r="N298" s="793">
        <f t="shared" si="112"/>
        <v>0</v>
      </c>
      <c r="O298" s="793">
        <f t="shared" si="112"/>
        <v>0</v>
      </c>
      <c r="P298" s="652">
        <f t="shared" si="112"/>
        <v>0</v>
      </c>
      <c r="Q298" s="649"/>
      <c r="T298" s="223">
        <f>+Parametros!B22+Parametros!B18</f>
        <v>0</v>
      </c>
      <c r="U298" s="486" t="s">
        <v>346</v>
      </c>
      <c r="V298" s="486"/>
    </row>
    <row r="299" spans="1:22" ht="13.95" customHeight="1" x14ac:dyDescent="0.25">
      <c r="A299" s="432"/>
      <c r="B299" s="433"/>
      <c r="C299" s="433"/>
      <c r="D299" s="434"/>
      <c r="E299" s="435"/>
      <c r="F299" s="435"/>
      <c r="G299" s="435"/>
      <c r="H299" s="435"/>
      <c r="I299" s="435"/>
      <c r="J299" s="435"/>
      <c r="K299" s="435"/>
      <c r="L299" s="435"/>
      <c r="M299" s="435"/>
      <c r="N299" s="435"/>
      <c r="O299" s="435"/>
      <c r="P299" s="471"/>
      <c r="Q299" s="271"/>
      <c r="T299" s="176"/>
      <c r="U299" s="486"/>
      <c r="V299" s="486"/>
    </row>
    <row r="300" spans="1:22" s="785" customFormat="1" ht="21" hidden="1" customHeight="1" thickBot="1" x14ac:dyDescent="0.25">
      <c r="A300" s="774" t="s">
        <v>38</v>
      </c>
      <c r="B300" s="775"/>
      <c r="C300" s="776"/>
      <c r="D300" s="777">
        <f>SUM($D296:D298)</f>
        <v>0</v>
      </c>
      <c r="E300" s="777">
        <f>SUM($D296:E298)</f>
        <v>0</v>
      </c>
      <c r="F300" s="777">
        <f>SUM($D296:F298)</f>
        <v>0</v>
      </c>
      <c r="G300" s="777">
        <f>SUM($D296:G298)</f>
        <v>0</v>
      </c>
      <c r="H300" s="777">
        <f>SUM($D296:H298)</f>
        <v>0</v>
      </c>
      <c r="I300" s="777">
        <f>SUM($D296:I298)</f>
        <v>0</v>
      </c>
      <c r="J300" s="777">
        <f>SUM($D296:J298)</f>
        <v>0</v>
      </c>
      <c r="K300" s="777">
        <f>SUM($D296:K298)</f>
        <v>0</v>
      </c>
      <c r="L300" s="777">
        <f>SUM($D296:L298)</f>
        <v>0</v>
      </c>
      <c r="M300" s="777">
        <f>SUM($D296:M298)</f>
        <v>0</v>
      </c>
      <c r="N300" s="777">
        <f>SUM($D296:N298)</f>
        <v>0</v>
      </c>
      <c r="O300" s="777">
        <f>SUM($D296:O298)</f>
        <v>0</v>
      </c>
      <c r="P300" s="778">
        <f>ROUND(SUM($D296:P298),2)</f>
        <v>0</v>
      </c>
      <c r="Q300" s="779"/>
      <c r="R300" s="780"/>
      <c r="S300" s="781"/>
      <c r="T300" s="782"/>
      <c r="U300" s="783"/>
      <c r="V300" s="784"/>
    </row>
    <row r="301" spans="1:22" ht="19.2" customHeight="1" thickBot="1" x14ac:dyDescent="0.3">
      <c r="A301" s="432"/>
      <c r="B301" s="433"/>
      <c r="C301" s="433"/>
      <c r="D301" s="436"/>
      <c r="E301" s="435"/>
      <c r="F301" s="435"/>
      <c r="G301" s="435"/>
      <c r="H301" s="435"/>
      <c r="I301" s="435"/>
      <c r="J301" s="437"/>
      <c r="K301" s="435"/>
      <c r="L301" s="435"/>
      <c r="M301" s="435"/>
      <c r="N301" s="435"/>
      <c r="O301" s="435"/>
      <c r="P301" s="472"/>
      <c r="R301" s="536" t="str">
        <f>+Parametros!A22</f>
        <v>Pagos a Cuenta total:</v>
      </c>
      <c r="S301" s="537">
        <f>+Parametros!B22</f>
        <v>0</v>
      </c>
      <c r="T301" s="773">
        <f>+T293-T296-T298</f>
        <v>0</v>
      </c>
      <c r="U301" s="490" t="s">
        <v>287</v>
      </c>
      <c r="V301" s="486"/>
    </row>
    <row r="302" spans="1:22" ht="29.4" customHeight="1" thickBot="1" x14ac:dyDescent="0.3">
      <c r="A302" s="438" t="s">
        <v>86</v>
      </c>
      <c r="B302" s="274"/>
      <c r="C302" s="113"/>
      <c r="D302" s="119">
        <v>0</v>
      </c>
      <c r="E302" s="119">
        <v>0</v>
      </c>
      <c r="F302" s="119">
        <v>0</v>
      </c>
      <c r="G302" s="119">
        <v>0</v>
      </c>
      <c r="H302" s="119">
        <v>0</v>
      </c>
      <c r="I302" s="119">
        <v>0</v>
      </c>
      <c r="J302" s="119">
        <v>0</v>
      </c>
      <c r="K302" s="119">
        <v>0</v>
      </c>
      <c r="L302" s="119">
        <v>0</v>
      </c>
      <c r="M302" s="119">
        <v>0</v>
      </c>
      <c r="N302" s="119">
        <v>0</v>
      </c>
      <c r="O302" s="119">
        <v>0</v>
      </c>
      <c r="P302" s="120">
        <v>0</v>
      </c>
      <c r="Q302" s="118"/>
      <c r="R302" s="535" t="s">
        <v>344</v>
      </c>
      <c r="S302" s="483">
        <f>MAX(0,SUM(D302:O302))</f>
        <v>0</v>
      </c>
      <c r="T302" s="484" t="s">
        <v>54</v>
      </c>
      <c r="U302" s="486"/>
      <c r="V302" s="486"/>
    </row>
    <row r="303" spans="1:22" ht="9" customHeight="1" x14ac:dyDescent="0.25">
      <c r="A303" s="270"/>
      <c r="D303" s="166"/>
      <c r="E303" s="166"/>
      <c r="F303" s="272"/>
      <c r="G303" s="166"/>
      <c r="P303" s="273"/>
      <c r="U303" s="486"/>
      <c r="V303" s="486"/>
    </row>
    <row r="304" spans="1:22" ht="15.6" customHeight="1" x14ac:dyDescent="0.25">
      <c r="A304" s="439" t="s">
        <v>70</v>
      </c>
      <c r="B304" s="160"/>
      <c r="D304" s="442">
        <f>ROUND(D293-D295-$D302,2)</f>
        <v>0</v>
      </c>
      <c r="E304" s="442">
        <f>ROUND(E293-E295-SUM($D$302:E302),2)</f>
        <v>0</v>
      </c>
      <c r="F304" s="442">
        <f>ROUND(F293-F295-SUM($D$302:F302),2)</f>
        <v>0</v>
      </c>
      <c r="G304" s="442">
        <f>ROUND(G293-G295-SUM($D$302:G302),2)</f>
        <v>0</v>
      </c>
      <c r="H304" s="442">
        <f>ROUND(H293-H295-SUM($D$302:H302),2)</f>
        <v>0</v>
      </c>
      <c r="I304" s="442">
        <f>ROUND(I293-I295-SUM($D$302:I302),2)</f>
        <v>0</v>
      </c>
      <c r="J304" s="442">
        <f>ROUND(J293-J295-SUM($D$302:J302),2)</f>
        <v>0</v>
      </c>
      <c r="K304" s="772">
        <f>ROUND(K293-K295-SUM($D$302:K302)-$I$308,2)</f>
        <v>0</v>
      </c>
      <c r="L304" s="772">
        <f>ROUND(L293-L295-SUM($D$302:L302)-$I$308-$J$308,2)</f>
        <v>0</v>
      </c>
      <c r="M304" s="772">
        <f>ROUND(M293-M295-SUM($D$302:M302)-$I$308-$J$308,2)</f>
        <v>0</v>
      </c>
      <c r="N304" s="772">
        <f>ROUND(N293-N295-SUM($D$302:N302)-$I$308-$J$308,2)</f>
        <v>0</v>
      </c>
      <c r="O304" s="772">
        <f>ROUND(O293-O295-SUM($D$302:O302)-$I$308-$J$308,2)</f>
        <v>0</v>
      </c>
      <c r="P304" s="473">
        <f>ROUND((P293-P295)-SUM($D$302:P302),2)</f>
        <v>0</v>
      </c>
      <c r="Q304" s="275"/>
      <c r="R304" s="170"/>
      <c r="S304" s="534"/>
    </row>
    <row r="305" spans="1:22" ht="21.6" customHeight="1" thickBot="1" x14ac:dyDescent="0.3">
      <c r="A305" s="446"/>
      <c r="B305" s="447"/>
      <c r="C305" s="447"/>
      <c r="D305" s="38" t="str">
        <f>IF(D304=0,"",IF(D304&gt;0,"A favor de AFIP","A favor del contribuyente"))</f>
        <v/>
      </c>
      <c r="E305" s="39" t="str">
        <f t="shared" ref="E305:P305" si="113">IF(E304=0,"",IF(E304&gt;0,"A favor de AFIP","A favor del contribuyente"))</f>
        <v/>
      </c>
      <c r="F305" s="38" t="str">
        <f t="shared" si="113"/>
        <v/>
      </c>
      <c r="G305" s="39" t="str">
        <f t="shared" si="113"/>
        <v/>
      </c>
      <c r="H305" s="38" t="str">
        <f t="shared" si="113"/>
        <v/>
      </c>
      <c r="I305" s="40" t="str">
        <f t="shared" si="113"/>
        <v/>
      </c>
      <c r="J305" s="39" t="str">
        <f t="shared" si="113"/>
        <v/>
      </c>
      <c r="K305" s="38" t="str">
        <f t="shared" si="113"/>
        <v/>
      </c>
      <c r="L305" s="39" t="str">
        <f t="shared" si="113"/>
        <v/>
      </c>
      <c r="M305" s="38" t="str">
        <f t="shared" si="113"/>
        <v/>
      </c>
      <c r="N305" s="38" t="str">
        <f t="shared" si="113"/>
        <v/>
      </c>
      <c r="O305" s="38" t="str">
        <f t="shared" si="113"/>
        <v/>
      </c>
      <c r="P305" s="47" t="str">
        <f t="shared" si="113"/>
        <v/>
      </c>
      <c r="Q305" s="276"/>
      <c r="R305" s="170"/>
      <c r="S305" s="534"/>
    </row>
    <row r="306" spans="1:22" ht="15.6" customHeight="1" x14ac:dyDescent="0.25">
      <c r="A306" s="440" t="s">
        <v>55</v>
      </c>
      <c r="B306" s="277"/>
      <c r="C306" s="277"/>
      <c r="D306" s="443">
        <f t="shared" ref="D306:O306" si="114">+MIN((D38+D103+D104)*35%,D38-D91+D110)</f>
        <v>0</v>
      </c>
      <c r="E306" s="443">
        <f t="shared" si="114"/>
        <v>0</v>
      </c>
      <c r="F306" s="443">
        <f t="shared" si="114"/>
        <v>0</v>
      </c>
      <c r="G306" s="443">
        <f t="shared" si="114"/>
        <v>0</v>
      </c>
      <c r="H306" s="443">
        <f t="shared" si="114"/>
        <v>0</v>
      </c>
      <c r="I306" s="443">
        <f t="shared" si="114"/>
        <v>0</v>
      </c>
      <c r="J306" s="443">
        <f t="shared" si="114"/>
        <v>0</v>
      </c>
      <c r="K306" s="443">
        <f t="shared" si="114"/>
        <v>0</v>
      </c>
      <c r="L306" s="443">
        <f t="shared" si="114"/>
        <v>0</v>
      </c>
      <c r="M306" s="443">
        <f t="shared" si="114"/>
        <v>0</v>
      </c>
      <c r="N306" s="443">
        <f t="shared" si="114"/>
        <v>0</v>
      </c>
      <c r="O306" s="443">
        <f t="shared" si="114"/>
        <v>0</v>
      </c>
      <c r="P306" s="512">
        <f>IF(Q308="NO",99999999999999900*35%,0*35%)</f>
        <v>3.4999999999999964E+16</v>
      </c>
      <c r="Q306" s="278"/>
      <c r="R306" s="482" t="str">
        <f>+Parametros!A22</f>
        <v>Pagos a Cuenta total:</v>
      </c>
      <c r="S306" s="41">
        <f>+S301</f>
        <v>0</v>
      </c>
    </row>
    <row r="307" spans="1:22" ht="12.75" customHeight="1" thickBot="1" x14ac:dyDescent="0.3">
      <c r="A307" s="441"/>
      <c r="B307" s="280"/>
      <c r="C307" s="280"/>
      <c r="D307" s="444"/>
      <c r="E307" s="444"/>
      <c r="F307" s="444"/>
      <c r="G307" s="444"/>
      <c r="H307" s="444"/>
      <c r="I307" s="444"/>
      <c r="J307" s="444"/>
      <c r="K307" s="444"/>
      <c r="L307" s="445"/>
      <c r="M307" s="444"/>
      <c r="N307" s="444"/>
      <c r="O307" s="444"/>
      <c r="P307" s="474"/>
      <c r="Q307" s="279"/>
      <c r="R307" s="538" t="s">
        <v>78</v>
      </c>
      <c r="S307" s="539">
        <f>+MIN(S301,S302)</f>
        <v>0</v>
      </c>
    </row>
    <row r="308" spans="1:22" ht="23.4" customHeight="1" x14ac:dyDescent="0.25">
      <c r="H308" s="670" t="s">
        <v>394</v>
      </c>
      <c r="I308" s="669">
        <f>IF(Parametros!B16-Parametros!B17&gt;0,IF(I2="SI",I304-J295,0),0)</f>
        <v>0</v>
      </c>
      <c r="J308" s="672">
        <f>IF(Parametros!B16-Parametros!B17&gt;0,IF(I2="SI",0,J304-K295),0)</f>
        <v>0</v>
      </c>
      <c r="L308" s="653"/>
      <c r="M308" s="166"/>
      <c r="N308" s="166"/>
      <c r="P308" s="281" t="s">
        <v>226</v>
      </c>
      <c r="Q308" s="541" t="s">
        <v>18</v>
      </c>
      <c r="R308" s="282"/>
      <c r="S308" s="236"/>
    </row>
    <row r="309" spans="1:22" ht="12.75" customHeight="1" thickBot="1" x14ac:dyDescent="0.3">
      <c r="D309" s="172"/>
      <c r="E309" s="172"/>
      <c r="F309" s="640"/>
      <c r="G309" s="545"/>
      <c r="H309" s="671" t="s">
        <v>395</v>
      </c>
      <c r="I309" s="640"/>
      <c r="J309" s="640"/>
      <c r="K309" s="545"/>
      <c r="L309" s="640"/>
      <c r="M309" s="142"/>
    </row>
    <row r="310" spans="1:22" ht="12.75" customHeight="1" x14ac:dyDescent="0.25">
      <c r="F310" s="641"/>
      <c r="G310" s="549"/>
      <c r="H310" s="549"/>
      <c r="I310" s="641"/>
      <c r="J310" s="549"/>
      <c r="K310" s="549"/>
      <c r="L310" s="641"/>
      <c r="M310" s="549"/>
      <c r="O310" s="283"/>
      <c r="P310" s="284"/>
      <c r="Q310" s="284"/>
      <c r="R310" s="284"/>
      <c r="S310" s="285"/>
    </row>
    <row r="311" spans="1:22" ht="12.75" customHeight="1" x14ac:dyDescent="0.25">
      <c r="H311" s="544"/>
      <c r="I311" s="510" t="s">
        <v>422</v>
      </c>
      <c r="J311" s="511">
        <f>IF(Parametros!B16-Parametros!B17&lt;0,-Parametros!B19,0)</f>
        <v>0</v>
      </c>
      <c r="L311" s="641"/>
      <c r="O311" s="475" t="s">
        <v>72</v>
      </c>
      <c r="P311" s="476" t="s">
        <v>371</v>
      </c>
      <c r="Q311" s="476"/>
      <c r="R311" s="29">
        <f>+ROUND(P293,2)</f>
        <v>0</v>
      </c>
      <c r="S311" s="30"/>
    </row>
    <row r="312" spans="1:22" ht="12.75" customHeight="1" x14ac:dyDescent="0.25">
      <c r="H312" s="544"/>
      <c r="I312" s="510" t="s">
        <v>423</v>
      </c>
      <c r="J312" s="794">
        <v>0</v>
      </c>
      <c r="O312" s="475" t="s">
        <v>73</v>
      </c>
      <c r="P312" s="477" t="s">
        <v>286</v>
      </c>
      <c r="Q312" s="477"/>
      <c r="R312" s="31">
        <f>+ROUND(SUM(D302:O302),2)</f>
        <v>0</v>
      </c>
      <c r="S312" s="30"/>
    </row>
    <row r="313" spans="1:22" ht="12.75" customHeight="1" thickBot="1" x14ac:dyDescent="0.3">
      <c r="H313" s="544"/>
      <c r="I313" s="795" t="s">
        <v>424</v>
      </c>
      <c r="J313" s="796">
        <f>+J311-J312</f>
        <v>0</v>
      </c>
      <c r="L313" s="835"/>
      <c r="M313" s="673"/>
      <c r="O313" s="475" t="s">
        <v>73</v>
      </c>
      <c r="P313" s="477" t="s">
        <v>74</v>
      </c>
      <c r="Q313" s="477"/>
      <c r="R313" s="31">
        <f>Parametros!B22+Parametros!B18</f>
        <v>0</v>
      </c>
      <c r="S313" s="30"/>
    </row>
    <row r="314" spans="1:22" ht="16.8" customHeight="1" thickBot="1" x14ac:dyDescent="0.3">
      <c r="L314" s="835"/>
      <c r="M314" s="674"/>
      <c r="O314" s="478" t="s">
        <v>72</v>
      </c>
      <c r="P314" s="28" t="str">
        <f>+IF(R314&lt;0,"F1357 a favor contrib","F1357 a favor AFIP")</f>
        <v>F1357 a favor AFIP</v>
      </c>
      <c r="Q314" s="28"/>
      <c r="R314" s="32">
        <f>+ROUND(R311-R312-R313,2)</f>
        <v>0</v>
      </c>
      <c r="S314" s="33"/>
    </row>
    <row r="315" spans="1:22" ht="12.75" customHeight="1" x14ac:dyDescent="0.25">
      <c r="J315" s="170"/>
      <c r="K315" s="545"/>
      <c r="O315" s="475" t="s">
        <v>73</v>
      </c>
      <c r="P315" s="477" t="s">
        <v>77</v>
      </c>
      <c r="Q315" s="477"/>
      <c r="R315" s="31">
        <f>+IF(R314&lt;0,0,ROUND(P302,2))</f>
        <v>0</v>
      </c>
      <c r="S315" s="30"/>
    </row>
    <row r="316" spans="1:22" ht="12.75" customHeight="1" thickBot="1" x14ac:dyDescent="0.3">
      <c r="O316" s="479" t="s">
        <v>76</v>
      </c>
      <c r="P316" s="480" t="s">
        <v>75</v>
      </c>
      <c r="Q316" s="480"/>
      <c r="R316" s="34">
        <f>+IF(R314&lt;0,MIN(R314*-1,S302),0)</f>
        <v>0</v>
      </c>
      <c r="S316" s="35"/>
    </row>
    <row r="317" spans="1:22" ht="17.399999999999999" customHeight="1" thickTop="1" thickBot="1" x14ac:dyDescent="0.3">
      <c r="A317" s="286"/>
      <c r="B317" s="287"/>
      <c r="C317" s="287"/>
      <c r="D317" s="286"/>
      <c r="E317" s="286"/>
      <c r="F317" s="286"/>
      <c r="G317" s="286"/>
      <c r="H317" s="286"/>
      <c r="I317" s="286"/>
      <c r="J317" s="286"/>
      <c r="K317" s="286"/>
      <c r="L317" s="286"/>
      <c r="M317" s="286"/>
      <c r="N317" s="286"/>
      <c r="O317" s="481" t="s">
        <v>72</v>
      </c>
      <c r="P317" s="48" t="str">
        <f>+IF(R317&lt;0,"Saldo a favor contrib.","Saldo a pagar")</f>
        <v>Saldo a pagar</v>
      </c>
      <c r="Q317" s="48"/>
      <c r="R317" s="49">
        <f>+ROUND(R314-R315+R316,2)</f>
        <v>0</v>
      </c>
      <c r="S317" s="36" t="str">
        <f>+IF(R317&lt;0,"Inscribirse en IG para exteriorizar SLD, con los vtos grales.",IF(R317&gt;0,"Inscribirse en IG e ingresar la diferencia con los vtos grales.",""))</f>
        <v/>
      </c>
    </row>
    <row r="318" spans="1:22" ht="12.75" customHeight="1" thickTop="1" x14ac:dyDescent="0.25">
      <c r="A318" s="286"/>
      <c r="B318" s="287"/>
      <c r="C318" s="287"/>
      <c r="D318" s="286"/>
      <c r="E318" s="286"/>
      <c r="F318" s="286"/>
      <c r="G318" s="286"/>
      <c r="H318" s="286"/>
      <c r="I318" s="286"/>
      <c r="J318" s="286"/>
      <c r="K318" s="286"/>
      <c r="L318" s="286"/>
      <c r="M318" s="286"/>
      <c r="N318" s="286"/>
      <c r="O318" s="288"/>
      <c r="P318" s="289"/>
      <c r="Q318" s="289"/>
      <c r="R318" s="289"/>
      <c r="S318" s="290"/>
    </row>
    <row r="319" spans="1:22" ht="12.75" customHeight="1" thickBot="1" x14ac:dyDescent="0.3">
      <c r="A319" s="286"/>
      <c r="B319" s="287"/>
      <c r="C319" s="287"/>
      <c r="D319" s="286"/>
      <c r="E319" s="286"/>
      <c r="F319" s="286"/>
      <c r="G319" s="286"/>
      <c r="H319" s="286"/>
      <c r="I319" s="286"/>
      <c r="J319" s="286"/>
      <c r="K319" s="286"/>
      <c r="L319" s="286"/>
      <c r="M319" s="286"/>
      <c r="N319" s="286"/>
      <c r="O319" s="291"/>
      <c r="P319" s="292"/>
      <c r="Q319" s="292"/>
      <c r="R319" s="292"/>
      <c r="S319" s="293"/>
      <c r="T319" s="286"/>
      <c r="U319" s="492"/>
    </row>
    <row r="320" spans="1:22" s="286" customFormat="1" ht="12.75" customHeight="1" x14ac:dyDescent="0.25">
      <c r="B320" s="287"/>
      <c r="C320" s="287"/>
      <c r="U320" s="492"/>
      <c r="V320" s="492"/>
    </row>
    <row r="321" spans="1:22" s="497" customFormat="1" ht="12.75" hidden="1" customHeight="1" x14ac:dyDescent="0.25">
      <c r="A321" s="497" t="s">
        <v>121</v>
      </c>
      <c r="B321" s="498"/>
      <c r="C321" s="498"/>
      <c r="D321" s="499">
        <f>Tablas!D17/12</f>
        <v>257586.25</v>
      </c>
      <c r="E321" s="499">
        <f>Tablas!E17/12</f>
        <v>257586.25</v>
      </c>
      <c r="F321" s="499">
        <f>Tablas!F17/12</f>
        <v>257586.25</v>
      </c>
      <c r="G321" s="499">
        <f>Tablas!G17/12</f>
        <v>257586.25</v>
      </c>
      <c r="H321" s="499">
        <f>Tablas!H17/12</f>
        <v>257586.25</v>
      </c>
      <c r="I321" s="499">
        <f>Tablas!I17/12</f>
        <v>257586.25</v>
      </c>
      <c r="J321" s="499">
        <f>Tablas!J17/12</f>
        <v>257586.25</v>
      </c>
      <c r="K321" s="499">
        <f>Tablas!K17/12</f>
        <v>257586.25</v>
      </c>
      <c r="L321" s="499">
        <f>Tablas!L17/12</f>
        <v>291974.01416666666</v>
      </c>
      <c r="M321" s="499">
        <f>Tablas!M17/12</f>
        <v>291974.01416666666</v>
      </c>
      <c r="N321" s="499">
        <f>Tablas!N17/12</f>
        <v>291974.01416666666</v>
      </c>
      <c r="O321" s="499">
        <f>Tablas!O17/12</f>
        <v>291974.01416666666</v>
      </c>
      <c r="P321" s="502">
        <f>Tablas!O17</f>
        <v>3503688.17</v>
      </c>
      <c r="Q321" s="499"/>
      <c r="U321" s="492"/>
      <c r="V321" s="492"/>
    </row>
    <row r="322" spans="1:22" s="497" customFormat="1" ht="12.75" hidden="1" customHeight="1" x14ac:dyDescent="0.25">
      <c r="A322" s="500" t="s">
        <v>122</v>
      </c>
      <c r="B322" s="501"/>
      <c r="C322" s="498"/>
      <c r="D322" s="502">
        <f>+D321</f>
        <v>257586.25</v>
      </c>
      <c r="E322" s="502">
        <f>+E321+D322</f>
        <v>515172.5</v>
      </c>
      <c r="F322" s="502">
        <f>+F321+E322</f>
        <v>772758.75</v>
      </c>
      <c r="G322" s="502">
        <f>+G321+F322</f>
        <v>1030345</v>
      </c>
      <c r="H322" s="502">
        <f t="shared" ref="H322:O322" si="115">+H321+G322</f>
        <v>1287931.25</v>
      </c>
      <c r="I322" s="502">
        <f t="shared" si="115"/>
        <v>1545517.5</v>
      </c>
      <c r="J322" s="502">
        <f t="shared" si="115"/>
        <v>1803103.75</v>
      </c>
      <c r="K322" s="502">
        <f t="shared" si="115"/>
        <v>2060690</v>
      </c>
      <c r="L322" s="502">
        <f t="shared" si="115"/>
        <v>2352664.0141666667</v>
      </c>
      <c r="M322" s="502">
        <f t="shared" si="115"/>
        <v>2644638.0283333333</v>
      </c>
      <c r="N322" s="502">
        <f t="shared" si="115"/>
        <v>2936612.0425</v>
      </c>
      <c r="O322" s="502">
        <f t="shared" si="115"/>
        <v>3228586.0566666666</v>
      </c>
      <c r="P322" s="502"/>
      <c r="Q322" s="499"/>
      <c r="U322" s="492"/>
      <c r="V322" s="492"/>
    </row>
    <row r="323" spans="1:22" s="497" customFormat="1" ht="12.75" hidden="1" customHeight="1" x14ac:dyDescent="0.25">
      <c r="A323" s="497" t="s">
        <v>115</v>
      </c>
      <c r="B323" s="498"/>
      <c r="C323" s="498"/>
      <c r="D323" s="499">
        <f>+IF(Deducciones!D26=1,Tablas!D18/12,0)</f>
        <v>0</v>
      </c>
      <c r="E323" s="499">
        <f>+IF(Deducciones!E26=1,Tablas!E18/12,0)</f>
        <v>0</v>
      </c>
      <c r="F323" s="499">
        <f>+IF(Deducciones!F26=1,Tablas!F18/12,0)</f>
        <v>0</v>
      </c>
      <c r="G323" s="499">
        <f>+IF(Deducciones!G26=1,Tablas!G18/12,0)</f>
        <v>0</v>
      </c>
      <c r="H323" s="499">
        <f>+IF(Deducciones!H26=1,Tablas!H18/12,0)</f>
        <v>0</v>
      </c>
      <c r="I323" s="499">
        <f>+IF(Deducciones!I26=1,Tablas!I18/12,0)</f>
        <v>0</v>
      </c>
      <c r="J323" s="499">
        <f>+IF(Deducciones!J26=1,Tablas!J18/12,0)</f>
        <v>0</v>
      </c>
      <c r="K323" s="499">
        <f>+IF(Deducciones!K26=1,Tablas!K18/12,0)</f>
        <v>0</v>
      </c>
      <c r="L323" s="499">
        <f>+IF(Deducciones!L26=1,Tablas!L18/12,0)</f>
        <v>0</v>
      </c>
      <c r="M323" s="499">
        <f>+IF(Deducciones!M26=1,Tablas!M18/12,0)</f>
        <v>0</v>
      </c>
      <c r="N323" s="499">
        <f>+IF(Deducciones!N26=1,Tablas!N18/12,0)</f>
        <v>0</v>
      </c>
      <c r="O323" s="499">
        <f>+IF(Deducciones!O26=1,Tablas!O18/12,0)</f>
        <v>0</v>
      </c>
      <c r="P323" s="502">
        <f>Tablas!$O$18/12*SUM(Deducciones!D26:O26)</f>
        <v>0</v>
      </c>
      <c r="Q323" s="499"/>
      <c r="U323" s="492"/>
      <c r="V323" s="492"/>
    </row>
    <row r="324" spans="1:22" s="497" customFormat="1" ht="12.75" hidden="1" customHeight="1" x14ac:dyDescent="0.25">
      <c r="A324" s="500" t="s">
        <v>118</v>
      </c>
      <c r="B324" s="501"/>
      <c r="C324" s="498"/>
      <c r="D324" s="502">
        <f>+D323</f>
        <v>0</v>
      </c>
      <c r="E324" s="502">
        <f>+E323+D324</f>
        <v>0</v>
      </c>
      <c r="F324" s="502">
        <f t="shared" ref="F324:O324" si="116">+F323+E324</f>
        <v>0</v>
      </c>
      <c r="G324" s="502">
        <f t="shared" si="116"/>
        <v>0</v>
      </c>
      <c r="H324" s="502">
        <f t="shared" si="116"/>
        <v>0</v>
      </c>
      <c r="I324" s="502">
        <f t="shared" si="116"/>
        <v>0</v>
      </c>
      <c r="J324" s="502">
        <f t="shared" si="116"/>
        <v>0</v>
      </c>
      <c r="K324" s="502">
        <f t="shared" si="116"/>
        <v>0</v>
      </c>
      <c r="L324" s="502">
        <f t="shared" si="116"/>
        <v>0</v>
      </c>
      <c r="M324" s="502">
        <f t="shared" si="116"/>
        <v>0</v>
      </c>
      <c r="N324" s="502">
        <f t="shared" si="116"/>
        <v>0</v>
      </c>
      <c r="O324" s="502">
        <f t="shared" si="116"/>
        <v>0</v>
      </c>
      <c r="P324" s="502"/>
      <c r="Q324" s="499"/>
      <c r="U324" s="492"/>
      <c r="V324" s="492"/>
    </row>
    <row r="325" spans="1:22" s="497" customFormat="1" ht="12.75" hidden="1" customHeight="1" x14ac:dyDescent="0.25">
      <c r="A325" s="497" t="s">
        <v>116</v>
      </c>
      <c r="B325" s="498"/>
      <c r="C325" s="498"/>
      <c r="D325" s="499">
        <f>Tablas!D19/12*(Deducciones!D27+Deducciones!D28*0.5)</f>
        <v>0</v>
      </c>
      <c r="E325" s="499">
        <f>Tablas!E19/12*(Deducciones!E27+Deducciones!E28*0.5)</f>
        <v>0</v>
      </c>
      <c r="F325" s="499">
        <f>Tablas!F19/12*(Deducciones!F27+Deducciones!F28*0.5)</f>
        <v>0</v>
      </c>
      <c r="G325" s="499">
        <f>Tablas!G19/12*(Deducciones!G27+Deducciones!G28*0.5)</f>
        <v>0</v>
      </c>
      <c r="H325" s="499">
        <f>Tablas!H19/12*(Deducciones!H27+Deducciones!H28*0.5)</f>
        <v>0</v>
      </c>
      <c r="I325" s="499">
        <f>Tablas!I19/12*(Deducciones!I27+Deducciones!I28*0.5)</f>
        <v>0</v>
      </c>
      <c r="J325" s="499">
        <f>Tablas!J19/12*(Deducciones!J27+Deducciones!J28*0.5)</f>
        <v>0</v>
      </c>
      <c r="K325" s="499">
        <f>Tablas!K19/12*(Deducciones!K27+Deducciones!K28*0.5)</f>
        <v>0</v>
      </c>
      <c r="L325" s="499">
        <f>Tablas!L19/12*(Deducciones!L27+Deducciones!L28*0.5)</f>
        <v>0</v>
      </c>
      <c r="M325" s="499">
        <f>Tablas!M19/12*(Deducciones!M27+Deducciones!M28*0.5)</f>
        <v>0</v>
      </c>
      <c r="N325" s="499">
        <f>Tablas!N19/12*(Deducciones!N27+Deducciones!N28*0.5)</f>
        <v>0</v>
      </c>
      <c r="O325" s="499">
        <f>Tablas!O19/12*(Deducciones!O27+Deducciones!O28*0.5)</f>
        <v>0</v>
      </c>
      <c r="P325" s="502">
        <f>Tablas!$O$19/12*(Deducciones!D27+Deducciones!D28*0.5)+Tablas!$O$19/12*(Deducciones!E27+Deducciones!E28*0.5)+Tablas!$O$19/12*(Deducciones!F27+Deducciones!F28*0.5)+Tablas!$O$19/12*(Deducciones!G27+Deducciones!G28*0.5)+Tablas!$O$19/12*(Deducciones!H27+Deducciones!H28*0.5)+Tablas!$O$19/12*(Deducciones!I27+Deducciones!I28*0.5)+Tablas!$O$19/12*(Deducciones!J27+Deducciones!J28*0.5)+Tablas!$O$19/12*(Deducciones!K27+Deducciones!K28*0.5)+Tablas!$O$19/12*(Deducciones!L27+Deducciones!L28*0.5)+Tablas!$O$19/12*(Deducciones!M27+Deducciones!M28*0.5)+Tablas!$O$19/12*(Deducciones!N27+Deducciones!N28*0.5)+Tablas!$O$19/12*(Deducciones!O27+Deducciones!O28*0.5)</f>
        <v>0</v>
      </c>
      <c r="Q325" s="499"/>
      <c r="U325" s="492"/>
      <c r="V325" s="492"/>
    </row>
    <row r="326" spans="1:22" s="497" customFormat="1" ht="12.75" hidden="1" customHeight="1" x14ac:dyDescent="0.25">
      <c r="A326" s="500" t="s">
        <v>119</v>
      </c>
      <c r="B326" s="501"/>
      <c r="C326" s="498"/>
      <c r="D326" s="502">
        <f>+D325</f>
        <v>0</v>
      </c>
      <c r="E326" s="502">
        <f>+E325+D326</f>
        <v>0</v>
      </c>
      <c r="F326" s="502">
        <f>+F325+E326</f>
        <v>0</v>
      </c>
      <c r="G326" s="502">
        <f t="shared" ref="G326:O326" si="117">+G325+F326</f>
        <v>0</v>
      </c>
      <c r="H326" s="502">
        <f t="shared" si="117"/>
        <v>0</v>
      </c>
      <c r="I326" s="502">
        <f t="shared" si="117"/>
        <v>0</v>
      </c>
      <c r="J326" s="502">
        <f t="shared" si="117"/>
        <v>0</v>
      </c>
      <c r="K326" s="502">
        <f t="shared" si="117"/>
        <v>0</v>
      </c>
      <c r="L326" s="502">
        <f t="shared" si="117"/>
        <v>0</v>
      </c>
      <c r="M326" s="502">
        <f t="shared" si="117"/>
        <v>0</v>
      </c>
      <c r="N326" s="502">
        <f t="shared" si="117"/>
        <v>0</v>
      </c>
      <c r="O326" s="502">
        <f t="shared" si="117"/>
        <v>0</v>
      </c>
      <c r="P326" s="502"/>
      <c r="Q326" s="499"/>
      <c r="U326" s="492"/>
      <c r="V326" s="492"/>
    </row>
    <row r="327" spans="1:22" s="497" customFormat="1" ht="12.75" hidden="1" customHeight="1" x14ac:dyDescent="0.25">
      <c r="A327" s="497" t="s">
        <v>117</v>
      </c>
      <c r="B327" s="498"/>
      <c r="C327" s="498"/>
      <c r="D327" s="499">
        <f>Tablas!D20/12*(Deducciones!D29+Deducciones!D30*0.5)</f>
        <v>0</v>
      </c>
      <c r="E327" s="499">
        <f>Tablas!E20/12*(Deducciones!E29+Deducciones!E30*0.5)</f>
        <v>0</v>
      </c>
      <c r="F327" s="499">
        <f>Tablas!F20/12*(Deducciones!F29+Deducciones!F30*0.5)</f>
        <v>0</v>
      </c>
      <c r="G327" s="499">
        <f>Tablas!G20/12*(Deducciones!G29+Deducciones!G30*0.5)</f>
        <v>0</v>
      </c>
      <c r="H327" s="499">
        <f>Tablas!H20/12*(Deducciones!H29+Deducciones!H30*0.5)</f>
        <v>0</v>
      </c>
      <c r="I327" s="499">
        <f>Tablas!I20/12*(Deducciones!I29+Deducciones!I30*0.5)</f>
        <v>0</v>
      </c>
      <c r="J327" s="499">
        <f>Tablas!J20/12*(Deducciones!J29+Deducciones!J30*0.5)</f>
        <v>0</v>
      </c>
      <c r="K327" s="499">
        <f>Tablas!K20/12*(Deducciones!K29+Deducciones!K30*0.5)</f>
        <v>0</v>
      </c>
      <c r="L327" s="499">
        <f>Tablas!L20/12*(Deducciones!L29+Deducciones!L30*0.5)</f>
        <v>0</v>
      </c>
      <c r="M327" s="499">
        <f>Tablas!M20/12*(Deducciones!M29+Deducciones!M30*0.5)</f>
        <v>0</v>
      </c>
      <c r="N327" s="499">
        <f>Tablas!N20/12*(Deducciones!N29+Deducciones!N30*0.5)</f>
        <v>0</v>
      </c>
      <c r="O327" s="499">
        <f>Tablas!O20/12*(Deducciones!O29+Deducciones!O30*0.5)</f>
        <v>0</v>
      </c>
      <c r="P327" s="502">
        <f>Tablas!$O$20/12*(Deducciones!D29+Deducciones!D30*0.5)+Tablas!$O$20/12*(Deducciones!E29+Deducciones!E30*0.5)+Tablas!$O$20/12*(Deducciones!F29+Deducciones!F30*0.5)+Tablas!$O$20/12*(Deducciones!G29+Deducciones!G30*0.5)+Tablas!$O$20/12*(Deducciones!H29+Deducciones!H30*0.5)+Tablas!$O$20/12*(Deducciones!I29+Deducciones!I30*0.5)+Tablas!$O$20/12*(Deducciones!J29+Deducciones!J30*0.5)+Tablas!$O$20/12*(Deducciones!K29+Deducciones!K30*0.5)+Tablas!$O$20/12*(Deducciones!L29+Deducciones!L30*0.5)+Tablas!$O$20/12*(Deducciones!M29+Deducciones!M30*0.5)+Tablas!$O$20/12*(Deducciones!N29+Deducciones!N30*0.5)+Tablas!$O$20/12*(Deducciones!O29+Deducciones!O30*0.5)</f>
        <v>0</v>
      </c>
      <c r="Q327" s="499"/>
      <c r="U327" s="492"/>
      <c r="V327" s="492"/>
    </row>
    <row r="328" spans="1:22" s="497" customFormat="1" ht="12.75" hidden="1" customHeight="1" x14ac:dyDescent="0.25">
      <c r="A328" s="500" t="s">
        <v>120</v>
      </c>
      <c r="B328" s="501"/>
      <c r="C328" s="498"/>
      <c r="D328" s="502">
        <f>+D327</f>
        <v>0</v>
      </c>
      <c r="E328" s="502">
        <f>+E327+D328</f>
        <v>0</v>
      </c>
      <c r="F328" s="502">
        <f t="shared" ref="F328:O328" si="118">+F327+E328</f>
        <v>0</v>
      </c>
      <c r="G328" s="502">
        <f t="shared" si="118"/>
        <v>0</v>
      </c>
      <c r="H328" s="502">
        <f t="shared" si="118"/>
        <v>0</v>
      </c>
      <c r="I328" s="502">
        <f t="shared" si="118"/>
        <v>0</v>
      </c>
      <c r="J328" s="502">
        <f t="shared" si="118"/>
        <v>0</v>
      </c>
      <c r="K328" s="502">
        <f t="shared" si="118"/>
        <v>0</v>
      </c>
      <c r="L328" s="502">
        <f t="shared" si="118"/>
        <v>0</v>
      </c>
      <c r="M328" s="502">
        <f t="shared" si="118"/>
        <v>0</v>
      </c>
      <c r="N328" s="502">
        <f t="shared" si="118"/>
        <v>0</v>
      </c>
      <c r="O328" s="502">
        <f t="shared" si="118"/>
        <v>0</v>
      </c>
      <c r="P328" s="502"/>
      <c r="Q328" s="499"/>
      <c r="U328" s="492"/>
      <c r="V328" s="492"/>
    </row>
    <row r="329" spans="1:22" s="497" customFormat="1" ht="12.75" hidden="1" customHeight="1" x14ac:dyDescent="0.25">
      <c r="A329" s="497" t="s">
        <v>123</v>
      </c>
      <c r="B329" s="498"/>
      <c r="C329" s="498"/>
      <c r="D329" s="499">
        <f>Tablas!D21/12</f>
        <v>1236414</v>
      </c>
      <c r="E329" s="499">
        <f>Tablas!E21/12</f>
        <v>1236414</v>
      </c>
      <c r="F329" s="499">
        <f>Tablas!F21/12</f>
        <v>1236414</v>
      </c>
      <c r="G329" s="499">
        <f>Tablas!G21/12</f>
        <v>1236414</v>
      </c>
      <c r="H329" s="499">
        <f>Tablas!H21/12</f>
        <v>1236414</v>
      </c>
      <c r="I329" s="499">
        <f>Tablas!I21/12</f>
        <v>1236414</v>
      </c>
      <c r="J329" s="499">
        <f>Tablas!J21/12</f>
        <v>1236414</v>
      </c>
      <c r="K329" s="499">
        <f>Tablas!K21/12</f>
        <v>1236414</v>
      </c>
      <c r="L329" s="499">
        <f>Tablas!L21/12</f>
        <v>1401475.2691666668</v>
      </c>
      <c r="M329" s="499">
        <f>Tablas!M21/12</f>
        <v>1401475.2691666668</v>
      </c>
      <c r="N329" s="499">
        <f>Tablas!N21/12</f>
        <v>1401475.2691666668</v>
      </c>
      <c r="O329" s="499">
        <f>Tablas!O21/12</f>
        <v>1401475.2691666668</v>
      </c>
      <c r="P329" s="502">
        <f>Tablas!O21</f>
        <v>16817703.23</v>
      </c>
      <c r="Q329" s="499"/>
      <c r="U329" s="492"/>
      <c r="V329" s="492"/>
    </row>
    <row r="330" spans="1:22" s="497" customFormat="1" ht="12.75" hidden="1" customHeight="1" x14ac:dyDescent="0.25">
      <c r="A330" s="500" t="s">
        <v>124</v>
      </c>
      <c r="B330" s="501"/>
      <c r="C330" s="498"/>
      <c r="D330" s="502">
        <f>+D329</f>
        <v>1236414</v>
      </c>
      <c r="E330" s="502">
        <f>+E329+D330</f>
        <v>2472828</v>
      </c>
      <c r="F330" s="502">
        <f t="shared" ref="F330:O330" si="119">+F329+E330</f>
        <v>3709242</v>
      </c>
      <c r="G330" s="502">
        <f t="shared" si="119"/>
        <v>4945656</v>
      </c>
      <c r="H330" s="502">
        <f t="shared" si="119"/>
        <v>6182070</v>
      </c>
      <c r="I330" s="502">
        <f t="shared" si="119"/>
        <v>7418484</v>
      </c>
      <c r="J330" s="502">
        <f t="shared" si="119"/>
        <v>8654898</v>
      </c>
      <c r="K330" s="502">
        <f t="shared" si="119"/>
        <v>9891312</v>
      </c>
      <c r="L330" s="502">
        <f t="shared" si="119"/>
        <v>11292787.269166667</v>
      </c>
      <c r="M330" s="502">
        <f t="shared" si="119"/>
        <v>12694262.538333334</v>
      </c>
      <c r="N330" s="502">
        <f t="shared" si="119"/>
        <v>14095737.807500001</v>
      </c>
      <c r="O330" s="502">
        <f t="shared" si="119"/>
        <v>15497213.076666668</v>
      </c>
      <c r="P330" s="502"/>
      <c r="Q330" s="499"/>
      <c r="U330" s="492"/>
      <c r="V330" s="492"/>
    </row>
    <row r="331" spans="1:22" s="497" customFormat="1" ht="12.75" hidden="1" customHeight="1" x14ac:dyDescent="0.25">
      <c r="B331" s="498"/>
      <c r="C331" s="498"/>
      <c r="D331" s="499"/>
      <c r="E331" s="499"/>
      <c r="F331" s="499"/>
      <c r="G331" s="499"/>
      <c r="H331" s="499"/>
      <c r="I331" s="499"/>
      <c r="J331" s="499"/>
      <c r="K331" s="499"/>
      <c r="L331" s="499"/>
      <c r="M331" s="499"/>
      <c r="N331" s="499"/>
      <c r="O331" s="499"/>
      <c r="P331" s="499"/>
      <c r="Q331" s="499"/>
      <c r="U331" s="492"/>
      <c r="V331" s="492"/>
    </row>
    <row r="332" spans="1:22" s="497" customFormat="1" ht="12.75" hidden="1" customHeight="1" x14ac:dyDescent="0.25">
      <c r="B332" s="498"/>
      <c r="C332" s="498"/>
      <c r="D332" s="499"/>
      <c r="E332" s="499"/>
      <c r="F332" s="499"/>
      <c r="G332" s="499"/>
      <c r="H332" s="499"/>
      <c r="I332" s="499"/>
      <c r="J332" s="499"/>
      <c r="K332" s="499"/>
      <c r="L332" s="499"/>
      <c r="M332" s="499"/>
      <c r="N332" s="499"/>
      <c r="O332" s="499"/>
      <c r="P332" s="499"/>
      <c r="Q332" s="499"/>
      <c r="U332" s="492"/>
      <c r="V332" s="492"/>
    </row>
    <row r="333" spans="1:22" s="497" customFormat="1" ht="12.75" hidden="1" customHeight="1" x14ac:dyDescent="0.25">
      <c r="B333" s="498"/>
      <c r="C333" s="498"/>
      <c r="D333" s="499"/>
      <c r="E333" s="499"/>
      <c r="F333" s="499"/>
      <c r="G333" s="499"/>
      <c r="H333" s="499"/>
      <c r="I333" s="499"/>
      <c r="J333" s="499"/>
      <c r="K333" s="499"/>
      <c r="L333" s="499"/>
      <c r="M333" s="499"/>
      <c r="N333" s="499"/>
      <c r="O333" s="499"/>
      <c r="P333" s="499"/>
      <c r="Q333" s="499"/>
      <c r="U333" s="492"/>
      <c r="V333" s="492"/>
    </row>
    <row r="334" spans="1:22" s="497" customFormat="1" ht="12.75" hidden="1" customHeight="1" x14ac:dyDescent="0.25">
      <c r="A334" s="497" t="s">
        <v>169</v>
      </c>
      <c r="B334" s="498"/>
      <c r="C334" s="498"/>
      <c r="D334" s="499">
        <f>+D9/12</f>
        <v>0</v>
      </c>
      <c r="E334" s="499">
        <f>+E9/11+D334</f>
        <v>0</v>
      </c>
      <c r="F334" s="499">
        <f>+F9/10+E334</f>
        <v>0</v>
      </c>
      <c r="G334" s="499">
        <f>+G9/9+F334</f>
        <v>0</v>
      </c>
      <c r="H334" s="499">
        <f>+H9/8+G334</f>
        <v>0</v>
      </c>
      <c r="I334" s="499">
        <f>+I9/7+H334</f>
        <v>0</v>
      </c>
      <c r="J334" s="499">
        <f>+J9/6+I334</f>
        <v>0</v>
      </c>
      <c r="K334" s="499">
        <f>+K9/5+J334</f>
        <v>0</v>
      </c>
      <c r="L334" s="499">
        <f>+L9/4+K334</f>
        <v>0</v>
      </c>
      <c r="M334" s="499">
        <f>+M9/3+L334</f>
        <v>0</v>
      </c>
      <c r="N334" s="499">
        <f>+N9/2+M334</f>
        <v>0</v>
      </c>
      <c r="O334" s="499">
        <f>+O9/1+N334</f>
        <v>0</v>
      </c>
      <c r="P334" s="499">
        <f>SUM(D334:O334)</f>
        <v>0</v>
      </c>
      <c r="Q334" s="499"/>
      <c r="U334" s="492"/>
      <c r="V334" s="492"/>
    </row>
    <row r="335" spans="1:22" s="497" customFormat="1" ht="12.75" hidden="1" customHeight="1" x14ac:dyDescent="0.25">
      <c r="A335" s="500" t="s">
        <v>171</v>
      </c>
      <c r="B335" s="498"/>
      <c r="C335" s="498"/>
      <c r="D335" s="502">
        <f>+D334</f>
        <v>0</v>
      </c>
      <c r="E335" s="502">
        <f>+D335+E334</f>
        <v>0</v>
      </c>
      <c r="F335" s="502">
        <f t="shared" ref="F335:O335" si="120">+E335+F334</f>
        <v>0</v>
      </c>
      <c r="G335" s="502">
        <f t="shared" si="120"/>
        <v>0</v>
      </c>
      <c r="H335" s="502">
        <f t="shared" si="120"/>
        <v>0</v>
      </c>
      <c r="I335" s="502">
        <f t="shared" si="120"/>
        <v>0</v>
      </c>
      <c r="J335" s="502">
        <f t="shared" si="120"/>
        <v>0</v>
      </c>
      <c r="K335" s="502">
        <f t="shared" si="120"/>
        <v>0</v>
      </c>
      <c r="L335" s="502">
        <f t="shared" si="120"/>
        <v>0</v>
      </c>
      <c r="M335" s="502">
        <f t="shared" si="120"/>
        <v>0</v>
      </c>
      <c r="N335" s="502">
        <f t="shared" si="120"/>
        <v>0</v>
      </c>
      <c r="O335" s="502">
        <f t="shared" si="120"/>
        <v>0</v>
      </c>
      <c r="P335" s="499"/>
      <c r="Q335" s="499"/>
      <c r="U335" s="492"/>
      <c r="V335" s="492"/>
    </row>
    <row r="336" spans="1:22" s="497" customFormat="1" ht="12.75" hidden="1" customHeight="1" x14ac:dyDescent="0.25">
      <c r="A336" s="497" t="s">
        <v>204</v>
      </c>
      <c r="B336" s="498"/>
      <c r="C336" s="498"/>
      <c r="D336" s="499">
        <f>+D10/12</f>
        <v>0</v>
      </c>
      <c r="E336" s="499">
        <f>+E10/11+D336</f>
        <v>0</v>
      </c>
      <c r="F336" s="499">
        <f>+F10/10+E336</f>
        <v>0</v>
      </c>
      <c r="G336" s="499">
        <f>+G10/9+F336</f>
        <v>0</v>
      </c>
      <c r="H336" s="499">
        <f>+H10/8+G336</f>
        <v>0</v>
      </c>
      <c r="I336" s="499">
        <f>+I10/7+H336</f>
        <v>0</v>
      </c>
      <c r="J336" s="499">
        <f>+J10/6+I336</f>
        <v>0</v>
      </c>
      <c r="K336" s="499">
        <f>+K10/5+J336</f>
        <v>0</v>
      </c>
      <c r="L336" s="499">
        <f>+L10/4+K336</f>
        <v>0</v>
      </c>
      <c r="M336" s="499">
        <f>+M10/3+L336</f>
        <v>0</v>
      </c>
      <c r="N336" s="499">
        <f>+N10/2+M336</f>
        <v>0</v>
      </c>
      <c r="O336" s="499">
        <f>+O10/1+N336</f>
        <v>0</v>
      </c>
      <c r="P336" s="499">
        <f>SUM(D336:O336)</f>
        <v>0</v>
      </c>
      <c r="Q336" s="499"/>
      <c r="U336" s="492"/>
      <c r="V336" s="492"/>
    </row>
    <row r="337" spans="1:22" s="497" customFormat="1" ht="12.75" hidden="1" customHeight="1" x14ac:dyDescent="0.25">
      <c r="A337" s="500" t="s">
        <v>205</v>
      </c>
      <c r="B337" s="498"/>
      <c r="C337" s="498"/>
      <c r="D337" s="502">
        <f>+D336</f>
        <v>0</v>
      </c>
      <c r="E337" s="502">
        <f>+D337+E336</f>
        <v>0</v>
      </c>
      <c r="F337" s="502">
        <f t="shared" ref="F337:O337" si="121">+E337+F336</f>
        <v>0</v>
      </c>
      <c r="G337" s="502">
        <f t="shared" si="121"/>
        <v>0</v>
      </c>
      <c r="H337" s="502">
        <f t="shared" si="121"/>
        <v>0</v>
      </c>
      <c r="I337" s="502">
        <f t="shared" si="121"/>
        <v>0</v>
      </c>
      <c r="J337" s="502">
        <f t="shared" si="121"/>
        <v>0</v>
      </c>
      <c r="K337" s="502">
        <f t="shared" si="121"/>
        <v>0</v>
      </c>
      <c r="L337" s="502">
        <f t="shared" si="121"/>
        <v>0</v>
      </c>
      <c r="M337" s="502">
        <f t="shared" si="121"/>
        <v>0</v>
      </c>
      <c r="N337" s="502">
        <f t="shared" si="121"/>
        <v>0</v>
      </c>
      <c r="O337" s="502">
        <f t="shared" si="121"/>
        <v>0</v>
      </c>
      <c r="P337" s="499"/>
      <c r="Q337" s="499"/>
      <c r="U337" s="492"/>
      <c r="V337" s="492"/>
    </row>
    <row r="338" spans="1:22" s="497" customFormat="1" ht="12.75" hidden="1" customHeight="1" x14ac:dyDescent="0.25">
      <c r="A338" s="503" t="s">
        <v>170</v>
      </c>
      <c r="B338" s="504"/>
      <c r="C338" s="498"/>
      <c r="D338" s="505">
        <f>+D16/12</f>
        <v>0</v>
      </c>
      <c r="E338" s="505">
        <f>+E16/11+D338</f>
        <v>0</v>
      </c>
      <c r="F338" s="505">
        <f>+F16/10+E338</f>
        <v>0</v>
      </c>
      <c r="G338" s="505">
        <f>+G16/9+F338</f>
        <v>0</v>
      </c>
      <c r="H338" s="505">
        <f>+H16/8+G338</f>
        <v>0</v>
      </c>
      <c r="I338" s="505">
        <f>+I16/7+H338</f>
        <v>0</v>
      </c>
      <c r="J338" s="505">
        <f>+J16/6+I338</f>
        <v>0</v>
      </c>
      <c r="K338" s="505">
        <f>+K16/5+J338</f>
        <v>0</v>
      </c>
      <c r="L338" s="505">
        <f>+L16/4+K338</f>
        <v>0</v>
      </c>
      <c r="M338" s="505">
        <f>+M16/3+L338</f>
        <v>0</v>
      </c>
      <c r="N338" s="505">
        <f>+N16/2+M338</f>
        <v>0</v>
      </c>
      <c r="O338" s="505">
        <f>+O16/1+N338</f>
        <v>0</v>
      </c>
      <c r="P338" s="499">
        <f>SUM(D338:O338)</f>
        <v>0</v>
      </c>
      <c r="Q338" s="499"/>
      <c r="U338" s="492"/>
      <c r="V338" s="492"/>
    </row>
    <row r="339" spans="1:22" s="497" customFormat="1" ht="12.75" hidden="1" customHeight="1" x14ac:dyDescent="0.25">
      <c r="A339" s="506" t="s">
        <v>172</v>
      </c>
      <c r="B339" s="507"/>
      <c r="C339" s="498"/>
      <c r="D339" s="508">
        <f>+D338</f>
        <v>0</v>
      </c>
      <c r="E339" s="508">
        <f>+D339+E338</f>
        <v>0</v>
      </c>
      <c r="F339" s="508">
        <f t="shared" ref="F339:O339" si="122">+E339+F338</f>
        <v>0</v>
      </c>
      <c r="G339" s="508">
        <f t="shared" si="122"/>
        <v>0</v>
      </c>
      <c r="H339" s="508">
        <f t="shared" si="122"/>
        <v>0</v>
      </c>
      <c r="I339" s="508">
        <f t="shared" si="122"/>
        <v>0</v>
      </c>
      <c r="J339" s="508">
        <f t="shared" si="122"/>
        <v>0</v>
      </c>
      <c r="K339" s="508">
        <f t="shared" si="122"/>
        <v>0</v>
      </c>
      <c r="L339" s="508">
        <f t="shared" si="122"/>
        <v>0</v>
      </c>
      <c r="M339" s="508">
        <f t="shared" si="122"/>
        <v>0</v>
      </c>
      <c r="N339" s="508">
        <f t="shared" si="122"/>
        <v>0</v>
      </c>
      <c r="O339" s="508">
        <f t="shared" si="122"/>
        <v>0</v>
      </c>
      <c r="P339" s="499"/>
      <c r="Q339" s="499"/>
      <c r="U339" s="492"/>
      <c r="V339" s="492"/>
    </row>
    <row r="340" spans="1:22" s="497" customFormat="1" ht="12.75" hidden="1" customHeight="1" x14ac:dyDescent="0.25">
      <c r="A340" s="503" t="s">
        <v>173</v>
      </c>
      <c r="B340" s="507"/>
      <c r="C340" s="498"/>
      <c r="D340" s="505">
        <f>+D17/12</f>
        <v>0</v>
      </c>
      <c r="E340" s="505">
        <f>+E17/11+D340</f>
        <v>0</v>
      </c>
      <c r="F340" s="505">
        <f>+F17/10+E340</f>
        <v>0</v>
      </c>
      <c r="G340" s="505">
        <f>+G17/9+F340</f>
        <v>0</v>
      </c>
      <c r="H340" s="505">
        <f>+H17/8+G340</f>
        <v>0</v>
      </c>
      <c r="I340" s="505">
        <f>+I17/7+H340</f>
        <v>0</v>
      </c>
      <c r="J340" s="505">
        <f>+J17/6+I340</f>
        <v>0</v>
      </c>
      <c r="K340" s="505">
        <f>+K17/5+J340</f>
        <v>0</v>
      </c>
      <c r="L340" s="505">
        <f>+L17/4+K340</f>
        <v>0</v>
      </c>
      <c r="M340" s="505">
        <f>+M17/3+L340</f>
        <v>0</v>
      </c>
      <c r="N340" s="505">
        <f>+N17/2+M340</f>
        <v>0</v>
      </c>
      <c r="O340" s="505">
        <f>+O17/1+N340</f>
        <v>0</v>
      </c>
      <c r="P340" s="499">
        <f>SUM(D340:O340)</f>
        <v>0</v>
      </c>
      <c r="Q340" s="499"/>
      <c r="U340" s="492"/>
      <c r="V340" s="492"/>
    </row>
    <row r="341" spans="1:22" s="497" customFormat="1" ht="12.75" hidden="1" customHeight="1" x14ac:dyDescent="0.25">
      <c r="A341" s="506" t="s">
        <v>174</v>
      </c>
      <c r="B341" s="507"/>
      <c r="C341" s="498"/>
      <c r="D341" s="508">
        <f>+D340</f>
        <v>0</v>
      </c>
      <c r="E341" s="508">
        <f>+D341+E340</f>
        <v>0</v>
      </c>
      <c r="F341" s="508">
        <f t="shared" ref="F341:O341" si="123">+E341+F340</f>
        <v>0</v>
      </c>
      <c r="G341" s="508">
        <f t="shared" si="123"/>
        <v>0</v>
      </c>
      <c r="H341" s="508">
        <f t="shared" si="123"/>
        <v>0</v>
      </c>
      <c r="I341" s="508">
        <f t="shared" si="123"/>
        <v>0</v>
      </c>
      <c r="J341" s="508">
        <f t="shared" si="123"/>
        <v>0</v>
      </c>
      <c r="K341" s="508">
        <f t="shared" si="123"/>
        <v>0</v>
      </c>
      <c r="L341" s="508">
        <f t="shared" si="123"/>
        <v>0</v>
      </c>
      <c r="M341" s="508">
        <f t="shared" si="123"/>
        <v>0</v>
      </c>
      <c r="N341" s="508">
        <f t="shared" si="123"/>
        <v>0</v>
      </c>
      <c r="O341" s="508">
        <f t="shared" si="123"/>
        <v>0</v>
      </c>
      <c r="P341" s="499"/>
      <c r="Q341" s="499"/>
      <c r="U341" s="492"/>
      <c r="V341" s="492"/>
    </row>
    <row r="342" spans="1:22" s="497" customFormat="1" ht="12.75" hidden="1" customHeight="1" x14ac:dyDescent="0.25">
      <c r="A342" s="503" t="s">
        <v>175</v>
      </c>
      <c r="B342" s="504"/>
      <c r="C342" s="498"/>
      <c r="D342" s="505">
        <f>+D18/12</f>
        <v>0</v>
      </c>
      <c r="E342" s="505">
        <f>+E18/11+D342</f>
        <v>0</v>
      </c>
      <c r="F342" s="505">
        <f>+F18/10+E342</f>
        <v>0</v>
      </c>
      <c r="G342" s="505">
        <f>+G18/9+F342</f>
        <v>0</v>
      </c>
      <c r="H342" s="505">
        <f>+H18/8+G342</f>
        <v>0</v>
      </c>
      <c r="I342" s="505">
        <f>+I18/7+H342</f>
        <v>0</v>
      </c>
      <c r="J342" s="505">
        <f>+J18/6+I342</f>
        <v>0</v>
      </c>
      <c r="K342" s="505">
        <f>+K18/5+J342</f>
        <v>0</v>
      </c>
      <c r="L342" s="505">
        <f>+L18/4+K342</f>
        <v>0</v>
      </c>
      <c r="M342" s="505">
        <f>+M18/3+L342</f>
        <v>0</v>
      </c>
      <c r="N342" s="505">
        <f>+N18/2+M342</f>
        <v>0</v>
      </c>
      <c r="O342" s="505">
        <f>+O18/1+N342</f>
        <v>0</v>
      </c>
      <c r="P342" s="499">
        <f>SUM(D342:O342)</f>
        <v>0</v>
      </c>
      <c r="Q342" s="499"/>
      <c r="U342" s="492"/>
      <c r="V342" s="492"/>
    </row>
    <row r="343" spans="1:22" s="497" customFormat="1" ht="12.75" hidden="1" customHeight="1" x14ac:dyDescent="0.25">
      <c r="A343" s="506" t="s">
        <v>176</v>
      </c>
      <c r="B343" s="507"/>
      <c r="C343" s="498"/>
      <c r="D343" s="508">
        <f>+D342</f>
        <v>0</v>
      </c>
      <c r="E343" s="508">
        <f>+D343+E342</f>
        <v>0</v>
      </c>
      <c r="F343" s="508">
        <f t="shared" ref="F343:O343" si="124">+E343+F342</f>
        <v>0</v>
      </c>
      <c r="G343" s="508">
        <f t="shared" si="124"/>
        <v>0</v>
      </c>
      <c r="H343" s="508">
        <f t="shared" si="124"/>
        <v>0</v>
      </c>
      <c r="I343" s="508">
        <f t="shared" si="124"/>
        <v>0</v>
      </c>
      <c r="J343" s="508">
        <f t="shared" si="124"/>
        <v>0</v>
      </c>
      <c r="K343" s="508">
        <f t="shared" si="124"/>
        <v>0</v>
      </c>
      <c r="L343" s="508">
        <f t="shared" si="124"/>
        <v>0</v>
      </c>
      <c r="M343" s="508">
        <f t="shared" si="124"/>
        <v>0</v>
      </c>
      <c r="N343" s="508">
        <f t="shared" si="124"/>
        <v>0</v>
      </c>
      <c r="O343" s="508">
        <f t="shared" si="124"/>
        <v>0</v>
      </c>
      <c r="P343" s="499"/>
      <c r="Q343" s="499"/>
      <c r="U343" s="492"/>
      <c r="V343" s="492"/>
    </row>
    <row r="344" spans="1:22" s="497" customFormat="1" ht="12.75" hidden="1" customHeight="1" x14ac:dyDescent="0.25">
      <c r="A344" s="503" t="s">
        <v>302</v>
      </c>
      <c r="B344" s="504"/>
      <c r="C344" s="498"/>
      <c r="D344" s="505">
        <f>+D32/12</f>
        <v>0</v>
      </c>
      <c r="E344" s="505">
        <f>+E32/11+D344</f>
        <v>0</v>
      </c>
      <c r="F344" s="505">
        <f>+F32/10+E344</f>
        <v>0</v>
      </c>
      <c r="G344" s="505">
        <f>+G32/9+F344</f>
        <v>0</v>
      </c>
      <c r="H344" s="505">
        <f>+H32/8+G344</f>
        <v>0</v>
      </c>
      <c r="I344" s="505">
        <f>+I32/7+H344</f>
        <v>0</v>
      </c>
      <c r="J344" s="505">
        <f>+J32/6+I344</f>
        <v>0</v>
      </c>
      <c r="K344" s="505">
        <f>+K32/5+J344</f>
        <v>0</v>
      </c>
      <c r="L344" s="505">
        <f>+L32/4+K344</f>
        <v>0</v>
      </c>
      <c r="M344" s="505">
        <f>+M32/3+L344</f>
        <v>0</v>
      </c>
      <c r="N344" s="505">
        <f>+N32/2+M344</f>
        <v>0</v>
      </c>
      <c r="O344" s="505">
        <f>+O32/1+N344</f>
        <v>0</v>
      </c>
      <c r="P344" s="499">
        <f>SUM(D344:O344)</f>
        <v>0</v>
      </c>
      <c r="Q344" s="499"/>
      <c r="U344" s="492"/>
      <c r="V344" s="492"/>
    </row>
    <row r="345" spans="1:22" s="497" customFormat="1" ht="12.75" hidden="1" customHeight="1" x14ac:dyDescent="0.25">
      <c r="A345" s="506" t="s">
        <v>303</v>
      </c>
      <c r="B345" s="507"/>
      <c r="C345" s="498"/>
      <c r="D345" s="508">
        <f>+D344</f>
        <v>0</v>
      </c>
      <c r="E345" s="508">
        <f>+D345+E344</f>
        <v>0</v>
      </c>
      <c r="F345" s="508">
        <f t="shared" ref="F345:O345" si="125">+E345+F344</f>
        <v>0</v>
      </c>
      <c r="G345" s="508">
        <f t="shared" si="125"/>
        <v>0</v>
      </c>
      <c r="H345" s="508">
        <f t="shared" si="125"/>
        <v>0</v>
      </c>
      <c r="I345" s="508">
        <f t="shared" si="125"/>
        <v>0</v>
      </c>
      <c r="J345" s="508">
        <f t="shared" si="125"/>
        <v>0</v>
      </c>
      <c r="K345" s="508">
        <f t="shared" si="125"/>
        <v>0</v>
      </c>
      <c r="L345" s="508">
        <f t="shared" si="125"/>
        <v>0</v>
      </c>
      <c r="M345" s="508">
        <f t="shared" si="125"/>
        <v>0</v>
      </c>
      <c r="N345" s="508">
        <f t="shared" si="125"/>
        <v>0</v>
      </c>
      <c r="O345" s="508">
        <f t="shared" si="125"/>
        <v>0</v>
      </c>
      <c r="P345" s="499"/>
      <c r="Q345" s="499"/>
      <c r="U345" s="492"/>
      <c r="V345" s="492"/>
    </row>
    <row r="346" spans="1:22" s="497" customFormat="1" ht="12.75" hidden="1" customHeight="1" x14ac:dyDescent="0.25">
      <c r="A346" s="503" t="s">
        <v>211</v>
      </c>
      <c r="B346" s="504"/>
      <c r="C346" s="498"/>
      <c r="D346" s="505">
        <f>+D33/12</f>
        <v>0</v>
      </c>
      <c r="E346" s="505">
        <f>+E33/11+D346</f>
        <v>0</v>
      </c>
      <c r="F346" s="505">
        <f>+F33/10+E346</f>
        <v>0</v>
      </c>
      <c r="G346" s="505">
        <f>+G33/9+F346</f>
        <v>0</v>
      </c>
      <c r="H346" s="505">
        <f>+H33/8+G346</f>
        <v>0</v>
      </c>
      <c r="I346" s="505">
        <f>+I33/7+H346</f>
        <v>0</v>
      </c>
      <c r="J346" s="505">
        <f>+J33/6+I346</f>
        <v>0</v>
      </c>
      <c r="K346" s="505">
        <f>+K33/5+J346</f>
        <v>0</v>
      </c>
      <c r="L346" s="505">
        <f>+L33/4+K346</f>
        <v>0</v>
      </c>
      <c r="M346" s="505">
        <f>+M33/3+L346</f>
        <v>0</v>
      </c>
      <c r="N346" s="505">
        <f>+N33/2+M346</f>
        <v>0</v>
      </c>
      <c r="O346" s="505">
        <f>+O33/1+N346</f>
        <v>0</v>
      </c>
      <c r="P346" s="499">
        <f>SUM(D346:O346)</f>
        <v>0</v>
      </c>
      <c r="Q346" s="499"/>
      <c r="U346" s="492"/>
      <c r="V346" s="492"/>
    </row>
    <row r="347" spans="1:22" s="500" customFormat="1" ht="12.75" hidden="1" customHeight="1" x14ac:dyDescent="0.25">
      <c r="A347" s="506" t="s">
        <v>212</v>
      </c>
      <c r="B347" s="507"/>
      <c r="C347" s="501"/>
      <c r="D347" s="508">
        <f>+D346</f>
        <v>0</v>
      </c>
      <c r="E347" s="508">
        <f>+D347+E346</f>
        <v>0</v>
      </c>
      <c r="F347" s="508">
        <f t="shared" ref="F347:O347" si="126">+E347+F346</f>
        <v>0</v>
      </c>
      <c r="G347" s="508">
        <f t="shared" si="126"/>
        <v>0</v>
      </c>
      <c r="H347" s="508">
        <f t="shared" si="126"/>
        <v>0</v>
      </c>
      <c r="I347" s="508">
        <f t="shared" si="126"/>
        <v>0</v>
      </c>
      <c r="J347" s="508">
        <f t="shared" si="126"/>
        <v>0</v>
      </c>
      <c r="K347" s="508">
        <f t="shared" si="126"/>
        <v>0</v>
      </c>
      <c r="L347" s="508">
        <f t="shared" si="126"/>
        <v>0</v>
      </c>
      <c r="M347" s="508">
        <f t="shared" si="126"/>
        <v>0</v>
      </c>
      <c r="N347" s="508">
        <f t="shared" si="126"/>
        <v>0</v>
      </c>
      <c r="O347" s="508">
        <f t="shared" si="126"/>
        <v>0</v>
      </c>
      <c r="P347" s="502"/>
      <c r="Q347" s="502"/>
      <c r="U347" s="509"/>
      <c r="V347" s="509"/>
    </row>
    <row r="348" spans="1:22" s="497" customFormat="1" ht="12.75" hidden="1" customHeight="1" x14ac:dyDescent="0.25">
      <c r="A348" s="503" t="s">
        <v>177</v>
      </c>
      <c r="B348" s="504"/>
      <c r="C348" s="498"/>
      <c r="D348" s="505">
        <f>+D43/12</f>
        <v>0</v>
      </c>
      <c r="E348" s="505">
        <f>+E43/11+D348</f>
        <v>0</v>
      </c>
      <c r="F348" s="505">
        <f>+F43/10+E348</f>
        <v>0</v>
      </c>
      <c r="G348" s="505">
        <f>+G43/9+F348</f>
        <v>0</v>
      </c>
      <c r="H348" s="505">
        <f>+H43/8+G348</f>
        <v>0</v>
      </c>
      <c r="I348" s="505">
        <f>+I43/7+H348</f>
        <v>0</v>
      </c>
      <c r="J348" s="505">
        <f>+J43/6+I348</f>
        <v>0</v>
      </c>
      <c r="K348" s="505">
        <f>+K43/5+J348</f>
        <v>0</v>
      </c>
      <c r="L348" s="505">
        <f>+L43/4+K348</f>
        <v>0</v>
      </c>
      <c r="M348" s="505">
        <f>+M43/3+L348</f>
        <v>0</v>
      </c>
      <c r="N348" s="505">
        <f>+N43/2+M348</f>
        <v>0</v>
      </c>
      <c r="O348" s="505">
        <f>+O43/1+N348</f>
        <v>0</v>
      </c>
      <c r="P348" s="499">
        <f>SUM(D348:O348)</f>
        <v>0</v>
      </c>
      <c r="Q348" s="499"/>
      <c r="U348" s="492"/>
      <c r="V348" s="492"/>
    </row>
    <row r="349" spans="1:22" s="497" customFormat="1" ht="12.75" hidden="1" customHeight="1" x14ac:dyDescent="0.25">
      <c r="A349" s="506" t="s">
        <v>178</v>
      </c>
      <c r="B349" s="507"/>
      <c r="C349" s="498"/>
      <c r="D349" s="502">
        <f>+D348</f>
        <v>0</v>
      </c>
      <c r="E349" s="502">
        <f>+D349+E348</f>
        <v>0</v>
      </c>
      <c r="F349" s="502">
        <f t="shared" ref="F349:O349" si="127">+E349+F348</f>
        <v>0</v>
      </c>
      <c r="G349" s="502">
        <f t="shared" si="127"/>
        <v>0</v>
      </c>
      <c r="H349" s="502">
        <f t="shared" si="127"/>
        <v>0</v>
      </c>
      <c r="I349" s="502">
        <f t="shared" si="127"/>
        <v>0</v>
      </c>
      <c r="J349" s="502">
        <f t="shared" si="127"/>
        <v>0</v>
      </c>
      <c r="K349" s="502">
        <f t="shared" si="127"/>
        <v>0</v>
      </c>
      <c r="L349" s="502">
        <f t="shared" si="127"/>
        <v>0</v>
      </c>
      <c r="M349" s="502">
        <f t="shared" si="127"/>
        <v>0</v>
      </c>
      <c r="N349" s="502">
        <f t="shared" si="127"/>
        <v>0</v>
      </c>
      <c r="O349" s="502">
        <f t="shared" si="127"/>
        <v>0</v>
      </c>
      <c r="P349" s="499"/>
      <c r="Q349" s="499"/>
      <c r="U349" s="492"/>
      <c r="V349" s="492"/>
    </row>
    <row r="350" spans="1:22" s="497" customFormat="1" ht="12.75" hidden="1" customHeight="1" x14ac:dyDescent="0.25">
      <c r="A350" s="503" t="s">
        <v>179</v>
      </c>
      <c r="B350" s="504"/>
      <c r="C350" s="498"/>
      <c r="D350" s="499">
        <f>+D47/12</f>
        <v>0</v>
      </c>
      <c r="E350" s="499">
        <f>+E47/11+D350</f>
        <v>0</v>
      </c>
      <c r="F350" s="499">
        <f>+F47/10+E350</f>
        <v>0</v>
      </c>
      <c r="G350" s="499">
        <f>+G47/9+F350</f>
        <v>0</v>
      </c>
      <c r="H350" s="499">
        <f>+H47/8+G350</f>
        <v>0</v>
      </c>
      <c r="I350" s="499">
        <f>+I47/7+H350</f>
        <v>0</v>
      </c>
      <c r="J350" s="499">
        <f>+J47/6+I350</f>
        <v>0</v>
      </c>
      <c r="K350" s="499">
        <f>+K47/5+J350</f>
        <v>0</v>
      </c>
      <c r="L350" s="499">
        <f>+L47/4+K350</f>
        <v>0</v>
      </c>
      <c r="M350" s="499">
        <f>+M47/3+L350</f>
        <v>0</v>
      </c>
      <c r="N350" s="499">
        <f>+N47/2+M350</f>
        <v>0</v>
      </c>
      <c r="O350" s="499">
        <f>+O47/1+N350</f>
        <v>0</v>
      </c>
      <c r="P350" s="499">
        <f>SUM(D350:O350)</f>
        <v>0</v>
      </c>
      <c r="Q350" s="499"/>
      <c r="U350" s="492"/>
      <c r="V350" s="492"/>
    </row>
    <row r="351" spans="1:22" s="497" customFormat="1" ht="12.75" hidden="1" customHeight="1" x14ac:dyDescent="0.25">
      <c r="A351" s="506" t="s">
        <v>180</v>
      </c>
      <c r="B351" s="507"/>
      <c r="C351" s="498"/>
      <c r="D351" s="502">
        <f>+D350</f>
        <v>0</v>
      </c>
      <c r="E351" s="502">
        <f>+D351+E350</f>
        <v>0</v>
      </c>
      <c r="F351" s="502">
        <f t="shared" ref="F351:O351" si="128">+E351+F350</f>
        <v>0</v>
      </c>
      <c r="G351" s="502">
        <f t="shared" si="128"/>
        <v>0</v>
      </c>
      <c r="H351" s="502">
        <f t="shared" si="128"/>
        <v>0</v>
      </c>
      <c r="I351" s="502">
        <f t="shared" si="128"/>
        <v>0</v>
      </c>
      <c r="J351" s="502">
        <f t="shared" si="128"/>
        <v>0</v>
      </c>
      <c r="K351" s="502">
        <f t="shared" si="128"/>
        <v>0</v>
      </c>
      <c r="L351" s="502">
        <f t="shared" si="128"/>
        <v>0</v>
      </c>
      <c r="M351" s="502">
        <f t="shared" si="128"/>
        <v>0</v>
      </c>
      <c r="N351" s="502">
        <f t="shared" si="128"/>
        <v>0</v>
      </c>
      <c r="O351" s="502">
        <f t="shared" si="128"/>
        <v>0</v>
      </c>
      <c r="P351" s="499"/>
      <c r="Q351" s="499"/>
      <c r="U351" s="492"/>
      <c r="V351" s="492"/>
    </row>
    <row r="352" spans="1:22" s="497" customFormat="1" ht="12.75" hidden="1" customHeight="1" x14ac:dyDescent="0.25">
      <c r="A352" s="497" t="s">
        <v>181</v>
      </c>
      <c r="B352" s="498"/>
      <c r="C352" s="498"/>
      <c r="D352" s="499">
        <f>+D48/12</f>
        <v>0</v>
      </c>
      <c r="E352" s="499">
        <f>+E48/11+D352</f>
        <v>0</v>
      </c>
      <c r="F352" s="499">
        <f>+F48/10+E352</f>
        <v>0</v>
      </c>
      <c r="G352" s="499">
        <f>+G48/9+F352</f>
        <v>0</v>
      </c>
      <c r="H352" s="499">
        <f>+H48/8+G352</f>
        <v>0</v>
      </c>
      <c r="I352" s="499">
        <f>+I48/7+H352</f>
        <v>0</v>
      </c>
      <c r="J352" s="499">
        <f>+J48/6+I352</f>
        <v>0</v>
      </c>
      <c r="K352" s="499">
        <f>+K48/5+J352</f>
        <v>0</v>
      </c>
      <c r="L352" s="499">
        <f>+L48/4+K352</f>
        <v>0</v>
      </c>
      <c r="M352" s="499">
        <f>+M48/3+L352</f>
        <v>0</v>
      </c>
      <c r="N352" s="499">
        <f>+N48/2+M352</f>
        <v>0</v>
      </c>
      <c r="O352" s="499">
        <f>+O48/1+N352</f>
        <v>0</v>
      </c>
      <c r="P352" s="499">
        <f>SUM(D352:O352)</f>
        <v>0</v>
      </c>
      <c r="Q352" s="499"/>
      <c r="U352" s="492"/>
      <c r="V352" s="492"/>
    </row>
    <row r="353" spans="1:22" s="497" customFormat="1" ht="12.75" hidden="1" customHeight="1" x14ac:dyDescent="0.25">
      <c r="A353" s="500" t="s">
        <v>182</v>
      </c>
      <c r="B353" s="501"/>
      <c r="C353" s="501"/>
      <c r="D353" s="502">
        <f>+D352</f>
        <v>0</v>
      </c>
      <c r="E353" s="502">
        <f>+D353+E352</f>
        <v>0</v>
      </c>
      <c r="F353" s="502">
        <f t="shared" ref="F353:O353" si="129">+E353+F352</f>
        <v>0</v>
      </c>
      <c r="G353" s="502">
        <f t="shared" si="129"/>
        <v>0</v>
      </c>
      <c r="H353" s="502">
        <f t="shared" si="129"/>
        <v>0</v>
      </c>
      <c r="I353" s="502">
        <f t="shared" si="129"/>
        <v>0</v>
      </c>
      <c r="J353" s="502">
        <f t="shared" si="129"/>
        <v>0</v>
      </c>
      <c r="K353" s="502">
        <f t="shared" si="129"/>
        <v>0</v>
      </c>
      <c r="L353" s="502">
        <f t="shared" si="129"/>
        <v>0</v>
      </c>
      <c r="M353" s="502">
        <f t="shared" si="129"/>
        <v>0</v>
      </c>
      <c r="N353" s="502">
        <f t="shared" si="129"/>
        <v>0</v>
      </c>
      <c r="O353" s="502">
        <f t="shared" si="129"/>
        <v>0</v>
      </c>
      <c r="P353" s="502"/>
      <c r="Q353" s="499"/>
      <c r="U353" s="492"/>
      <c r="V353" s="492"/>
    </row>
    <row r="354" spans="1:22" s="497" customFormat="1" ht="12.75" hidden="1" customHeight="1" x14ac:dyDescent="0.25">
      <c r="A354" s="497" t="s">
        <v>183</v>
      </c>
      <c r="B354" s="498"/>
      <c r="C354" s="498"/>
      <c r="D354" s="499">
        <f>+D49/12</f>
        <v>0</v>
      </c>
      <c r="E354" s="499">
        <f>+E49/11+D354</f>
        <v>0</v>
      </c>
      <c r="F354" s="499">
        <f>+F49/10+E354</f>
        <v>0</v>
      </c>
      <c r="G354" s="499">
        <f>+G49/9+F354</f>
        <v>0</v>
      </c>
      <c r="H354" s="499">
        <f>+H49/8+G354</f>
        <v>0</v>
      </c>
      <c r="I354" s="499">
        <f>+I49/7+H354</f>
        <v>0</v>
      </c>
      <c r="J354" s="499">
        <f>+J49/6+I354</f>
        <v>0</v>
      </c>
      <c r="K354" s="499">
        <f>+K49/5+J354</f>
        <v>0</v>
      </c>
      <c r="L354" s="499">
        <f>+L49/4+K354</f>
        <v>0</v>
      </c>
      <c r="M354" s="499">
        <f>+M49/3+L354</f>
        <v>0</v>
      </c>
      <c r="N354" s="499">
        <f>+N49/2+M354</f>
        <v>0</v>
      </c>
      <c r="O354" s="499">
        <f>+O49/1+N354</f>
        <v>0</v>
      </c>
      <c r="P354" s="499">
        <f>SUM(D354:O354)</f>
        <v>0</v>
      </c>
      <c r="Q354" s="499"/>
      <c r="U354" s="492"/>
      <c r="V354" s="492"/>
    </row>
    <row r="355" spans="1:22" s="497" customFormat="1" ht="12.75" hidden="1" customHeight="1" x14ac:dyDescent="0.25">
      <c r="A355" s="500" t="s">
        <v>184</v>
      </c>
      <c r="B355" s="501"/>
      <c r="C355" s="501"/>
      <c r="D355" s="502">
        <f>+D354</f>
        <v>0</v>
      </c>
      <c r="E355" s="502">
        <f>+D355+E354</f>
        <v>0</v>
      </c>
      <c r="F355" s="502">
        <f t="shared" ref="F355:O355" si="130">+E355+F354</f>
        <v>0</v>
      </c>
      <c r="G355" s="502">
        <f t="shared" si="130"/>
        <v>0</v>
      </c>
      <c r="H355" s="502">
        <f t="shared" si="130"/>
        <v>0</v>
      </c>
      <c r="I355" s="502">
        <f t="shared" si="130"/>
        <v>0</v>
      </c>
      <c r="J355" s="502">
        <f t="shared" si="130"/>
        <v>0</v>
      </c>
      <c r="K355" s="502">
        <f t="shared" si="130"/>
        <v>0</v>
      </c>
      <c r="L355" s="502">
        <f t="shared" si="130"/>
        <v>0</v>
      </c>
      <c r="M355" s="502">
        <f t="shared" si="130"/>
        <v>0</v>
      </c>
      <c r="N355" s="502">
        <f t="shared" si="130"/>
        <v>0</v>
      </c>
      <c r="O355" s="502">
        <f t="shared" si="130"/>
        <v>0</v>
      </c>
      <c r="P355" s="502"/>
      <c r="Q355" s="499"/>
      <c r="U355" s="492"/>
      <c r="V355" s="492"/>
    </row>
    <row r="356" spans="1:22" s="497" customFormat="1" ht="12.75" hidden="1" customHeight="1" x14ac:dyDescent="0.25">
      <c r="A356" s="497" t="s">
        <v>185</v>
      </c>
      <c r="B356" s="498"/>
      <c r="C356" s="498"/>
      <c r="D356" s="499">
        <f>+D61/12</f>
        <v>0</v>
      </c>
      <c r="E356" s="499">
        <f>+E61/11+D356</f>
        <v>0</v>
      </c>
      <c r="F356" s="499">
        <f>+F61/10+E356</f>
        <v>0</v>
      </c>
      <c r="G356" s="499">
        <f>+G61/9+F356</f>
        <v>0</v>
      </c>
      <c r="H356" s="499">
        <f>+H61/8+G356</f>
        <v>0</v>
      </c>
      <c r="I356" s="499">
        <f>+I61/7+H356</f>
        <v>0</v>
      </c>
      <c r="J356" s="499">
        <f>+J61/6+I356</f>
        <v>0</v>
      </c>
      <c r="K356" s="499">
        <f>+K61/5+J356</f>
        <v>0</v>
      </c>
      <c r="L356" s="499">
        <f>+L61/4+K356</f>
        <v>0</v>
      </c>
      <c r="M356" s="499">
        <f>+M61/3+L356</f>
        <v>0</v>
      </c>
      <c r="N356" s="499">
        <f>+N61/2+M356</f>
        <v>0</v>
      </c>
      <c r="O356" s="499">
        <f>+O61/1+N356</f>
        <v>0</v>
      </c>
      <c r="P356" s="499">
        <f>SUM(D356:O356)</f>
        <v>0</v>
      </c>
      <c r="Q356" s="499"/>
      <c r="U356" s="492"/>
      <c r="V356" s="492"/>
    </row>
    <row r="357" spans="1:22" s="497" customFormat="1" ht="12.75" hidden="1" customHeight="1" x14ac:dyDescent="0.25">
      <c r="A357" s="500" t="s">
        <v>186</v>
      </c>
      <c r="B357" s="501"/>
      <c r="C357" s="501"/>
      <c r="D357" s="502">
        <f>+D356</f>
        <v>0</v>
      </c>
      <c r="E357" s="502">
        <f>+D357+E356</f>
        <v>0</v>
      </c>
      <c r="F357" s="502">
        <f t="shared" ref="F357:O357" si="131">+E357+F356</f>
        <v>0</v>
      </c>
      <c r="G357" s="502">
        <f t="shared" si="131"/>
        <v>0</v>
      </c>
      <c r="H357" s="502">
        <f t="shared" si="131"/>
        <v>0</v>
      </c>
      <c r="I357" s="502">
        <f t="shared" si="131"/>
        <v>0</v>
      </c>
      <c r="J357" s="502">
        <f t="shared" si="131"/>
        <v>0</v>
      </c>
      <c r="K357" s="502">
        <f t="shared" si="131"/>
        <v>0</v>
      </c>
      <c r="L357" s="502">
        <f t="shared" si="131"/>
        <v>0</v>
      </c>
      <c r="M357" s="502">
        <f t="shared" si="131"/>
        <v>0</v>
      </c>
      <c r="N357" s="502">
        <f t="shared" si="131"/>
        <v>0</v>
      </c>
      <c r="O357" s="502">
        <f t="shared" si="131"/>
        <v>0</v>
      </c>
      <c r="P357" s="502"/>
      <c r="Q357" s="499"/>
      <c r="U357" s="492"/>
      <c r="V357" s="492"/>
    </row>
    <row r="358" spans="1:22" s="497" customFormat="1" ht="12.75" hidden="1" customHeight="1" x14ac:dyDescent="0.25">
      <c r="B358" s="498"/>
      <c r="C358" s="498"/>
      <c r="D358" s="499"/>
      <c r="E358" s="499"/>
      <c r="F358" s="499"/>
      <c r="G358" s="499"/>
      <c r="H358" s="499"/>
      <c r="I358" s="499"/>
      <c r="J358" s="499"/>
      <c r="K358" s="499"/>
      <c r="L358" s="499"/>
      <c r="M358" s="499"/>
      <c r="N358" s="499"/>
      <c r="O358" s="499"/>
      <c r="P358" s="499"/>
      <c r="Q358" s="499"/>
      <c r="U358" s="492"/>
      <c r="V358" s="492"/>
    </row>
    <row r="359" spans="1:22" s="497" customFormat="1" ht="12.75" hidden="1" customHeight="1" x14ac:dyDescent="0.25">
      <c r="B359" s="498"/>
      <c r="C359" s="498"/>
      <c r="D359" s="499"/>
      <c r="E359" s="499"/>
      <c r="F359" s="499"/>
      <c r="G359" s="499"/>
      <c r="H359" s="499"/>
      <c r="I359" s="499"/>
      <c r="J359" s="499"/>
      <c r="K359" s="499"/>
      <c r="L359" s="499"/>
      <c r="M359" s="499"/>
      <c r="N359" s="499"/>
      <c r="O359" s="499"/>
      <c r="P359" s="499"/>
      <c r="Q359" s="499"/>
      <c r="U359" s="492"/>
      <c r="V359" s="492"/>
    </row>
    <row r="360" spans="1:22" s="497" customFormat="1" ht="12.75" hidden="1" customHeight="1" x14ac:dyDescent="0.25">
      <c r="A360" s="497" t="s">
        <v>290</v>
      </c>
      <c r="B360" s="498"/>
      <c r="C360" s="498"/>
      <c r="D360" s="499">
        <f t="shared" ref="D360:O360" si="132">+SUMIFS(D7:D37,$C7:$C37,"R")</f>
        <v>0</v>
      </c>
      <c r="E360" s="499">
        <f t="shared" si="132"/>
        <v>0</v>
      </c>
      <c r="F360" s="499">
        <f t="shared" si="132"/>
        <v>0</v>
      </c>
      <c r="G360" s="499">
        <f t="shared" si="132"/>
        <v>0</v>
      </c>
      <c r="H360" s="499">
        <f t="shared" si="132"/>
        <v>0</v>
      </c>
      <c r="I360" s="499">
        <f t="shared" si="132"/>
        <v>0</v>
      </c>
      <c r="J360" s="499">
        <f t="shared" si="132"/>
        <v>0</v>
      </c>
      <c r="K360" s="499">
        <f t="shared" si="132"/>
        <v>0</v>
      </c>
      <c r="L360" s="499">
        <f t="shared" si="132"/>
        <v>0</v>
      </c>
      <c r="M360" s="499">
        <f t="shared" si="132"/>
        <v>0</v>
      </c>
      <c r="N360" s="499">
        <f t="shared" si="132"/>
        <v>0</v>
      </c>
      <c r="O360" s="499">
        <f t="shared" si="132"/>
        <v>0</v>
      </c>
      <c r="P360" s="499"/>
      <c r="Q360" s="499"/>
      <c r="U360" s="492"/>
      <c r="V360" s="492"/>
    </row>
    <row r="361" spans="1:22" s="497" customFormat="1" ht="12.75" hidden="1" customHeight="1" x14ac:dyDescent="0.25">
      <c r="A361" s="497" t="s">
        <v>289</v>
      </c>
      <c r="B361" s="498"/>
      <c r="C361" s="498"/>
      <c r="D361" s="499">
        <f t="shared" ref="D361:O361" si="133">+SUMIFS(D7:D37,$C7:$C37,"R",$B7:$B37,"NH")/12+C361</f>
        <v>0</v>
      </c>
      <c r="E361" s="499">
        <f t="shared" si="133"/>
        <v>0</v>
      </c>
      <c r="F361" s="499">
        <f t="shared" si="133"/>
        <v>0</v>
      </c>
      <c r="G361" s="499">
        <f t="shared" si="133"/>
        <v>0</v>
      </c>
      <c r="H361" s="499">
        <f t="shared" si="133"/>
        <v>0</v>
      </c>
      <c r="I361" s="499">
        <f t="shared" si="133"/>
        <v>0</v>
      </c>
      <c r="J361" s="499">
        <f t="shared" si="133"/>
        <v>0</v>
      </c>
      <c r="K361" s="499">
        <f t="shared" si="133"/>
        <v>0</v>
      </c>
      <c r="L361" s="499">
        <f t="shared" si="133"/>
        <v>0</v>
      </c>
      <c r="M361" s="499">
        <f t="shared" si="133"/>
        <v>0</v>
      </c>
      <c r="N361" s="499">
        <f t="shared" si="133"/>
        <v>0</v>
      </c>
      <c r="O361" s="499">
        <f t="shared" si="133"/>
        <v>0</v>
      </c>
      <c r="P361" s="499"/>
      <c r="Q361" s="499"/>
      <c r="U361" s="492"/>
      <c r="V361" s="492"/>
    </row>
    <row r="362" spans="1:22" s="497" customFormat="1" ht="12.75" hidden="1" customHeight="1" x14ac:dyDescent="0.25">
      <c r="B362" s="498"/>
      <c r="C362" s="498"/>
      <c r="D362" s="499"/>
      <c r="E362" s="499"/>
      <c r="F362" s="499"/>
      <c r="G362" s="499"/>
      <c r="H362" s="499"/>
      <c r="I362" s="499"/>
      <c r="J362" s="499"/>
      <c r="K362" s="499"/>
      <c r="L362" s="499"/>
      <c r="M362" s="499"/>
      <c r="N362" s="499"/>
      <c r="O362" s="499"/>
      <c r="P362" s="499"/>
      <c r="Q362" s="499"/>
      <c r="U362" s="492"/>
      <c r="V362" s="492"/>
    </row>
    <row r="363" spans="1:22" s="497" customFormat="1" ht="12.75" hidden="1" customHeight="1" x14ac:dyDescent="0.25">
      <c r="B363" s="498"/>
      <c r="C363" s="498"/>
      <c r="D363" s="499"/>
      <c r="E363" s="499"/>
      <c r="F363" s="499"/>
      <c r="G363" s="499"/>
      <c r="H363" s="499"/>
      <c r="I363" s="499"/>
      <c r="J363" s="499"/>
      <c r="K363" s="499"/>
      <c r="L363" s="499"/>
      <c r="M363" s="499"/>
      <c r="N363" s="499"/>
      <c r="O363" s="499"/>
      <c r="P363" s="499"/>
      <c r="Q363" s="499"/>
      <c r="U363" s="492"/>
      <c r="V363" s="492"/>
    </row>
    <row r="364" spans="1:22" s="497" customFormat="1" ht="12.75" hidden="1" customHeight="1" x14ac:dyDescent="0.25">
      <c r="A364" s="517" t="s">
        <v>325</v>
      </c>
      <c r="B364" s="498"/>
      <c r="C364" s="498"/>
      <c r="D364" s="499"/>
      <c r="E364" s="499"/>
      <c r="F364" s="499"/>
      <c r="G364" s="499"/>
      <c r="H364" s="499"/>
      <c r="I364" s="499"/>
      <c r="J364" s="499"/>
      <c r="K364" s="499"/>
      <c r="L364" s="499"/>
      <c r="M364" s="499"/>
      <c r="N364" s="499"/>
      <c r="O364" s="499"/>
      <c r="P364" s="499"/>
      <c r="Q364" s="499"/>
      <c r="U364" s="492"/>
      <c r="V364" s="492"/>
    </row>
    <row r="365" spans="1:22" s="497" customFormat="1" ht="12.75" hidden="1" customHeight="1" x14ac:dyDescent="0.25">
      <c r="A365" s="518" t="s">
        <v>312</v>
      </c>
      <c r="B365" s="498"/>
      <c r="C365" s="498"/>
      <c r="D365" s="499">
        <f>D193</f>
        <v>0</v>
      </c>
      <c r="E365" s="499">
        <f>E193</f>
        <v>0</v>
      </c>
      <c r="F365" s="499">
        <f>F193</f>
        <v>0</v>
      </c>
      <c r="G365" s="499">
        <f>G193</f>
        <v>0</v>
      </c>
      <c r="H365" s="499">
        <f>H193</f>
        <v>0</v>
      </c>
      <c r="I365" s="502">
        <f>SUM(D365:H365)</f>
        <v>0</v>
      </c>
      <c r="J365" s="499">
        <f>J193</f>
        <v>0</v>
      </c>
      <c r="K365" s="499">
        <f>K193</f>
        <v>0</v>
      </c>
      <c r="L365" s="499">
        <f>L193</f>
        <v>0</v>
      </c>
      <c r="M365" s="499">
        <f>M193</f>
        <v>0</v>
      </c>
      <c r="N365" s="499">
        <f>N193</f>
        <v>0</v>
      </c>
      <c r="O365" s="502">
        <f>SUM(J365:N365)</f>
        <v>0</v>
      </c>
      <c r="P365" s="499"/>
      <c r="Q365" s="499"/>
      <c r="U365" s="492"/>
      <c r="V365" s="492"/>
    </row>
    <row r="366" spans="1:22" s="497" customFormat="1" ht="12.75" hidden="1" customHeight="1" x14ac:dyDescent="0.25">
      <c r="A366" s="518" t="s">
        <v>326</v>
      </c>
      <c r="B366" s="498"/>
      <c r="C366" s="498"/>
      <c r="D366" s="499"/>
      <c r="E366" s="499"/>
      <c r="F366" s="499"/>
      <c r="G366" s="499"/>
      <c r="H366" s="499"/>
      <c r="I366" s="499">
        <f>T103</f>
        <v>0</v>
      </c>
      <c r="J366" s="499"/>
      <c r="K366" s="499"/>
      <c r="L366" s="499"/>
      <c r="M366" s="499"/>
      <c r="N366" s="499"/>
      <c r="O366" s="502">
        <f>T105</f>
        <v>0</v>
      </c>
      <c r="P366" s="499"/>
      <c r="Q366" s="499"/>
      <c r="U366" s="492"/>
      <c r="V366" s="492"/>
    </row>
    <row r="367" spans="1:22" s="497" customFormat="1" ht="12.75" hidden="1" customHeight="1" x14ac:dyDescent="0.25">
      <c r="A367" s="518"/>
      <c r="B367" s="498"/>
      <c r="C367" s="498"/>
      <c r="D367" s="499"/>
      <c r="E367" s="499"/>
      <c r="F367" s="499"/>
      <c r="G367" s="499"/>
      <c r="H367" s="499"/>
      <c r="I367" s="499"/>
      <c r="J367" s="499"/>
      <c r="K367" s="499"/>
      <c r="L367" s="499"/>
      <c r="M367" s="499"/>
      <c r="N367" s="499"/>
      <c r="O367" s="499"/>
      <c r="P367" s="499"/>
      <c r="Q367" s="499"/>
      <c r="U367" s="492"/>
      <c r="V367" s="492"/>
    </row>
    <row r="368" spans="1:22" s="497" customFormat="1" ht="12.75" hidden="1" customHeight="1" x14ac:dyDescent="0.25">
      <c r="A368" s="518" t="s">
        <v>313</v>
      </c>
      <c r="B368" s="498"/>
      <c r="C368" s="498"/>
      <c r="D368" s="499">
        <f t="shared" ref="D368:H372" si="134">D194</f>
        <v>0</v>
      </c>
      <c r="E368" s="499">
        <f t="shared" si="134"/>
        <v>0</v>
      </c>
      <c r="F368" s="499">
        <f t="shared" si="134"/>
        <v>0</v>
      </c>
      <c r="G368" s="499">
        <f t="shared" si="134"/>
        <v>0</v>
      </c>
      <c r="H368" s="499">
        <f t="shared" si="134"/>
        <v>0</v>
      </c>
      <c r="I368" s="502">
        <f>SUM(D368:H368)</f>
        <v>0</v>
      </c>
      <c r="J368" s="499">
        <f t="shared" ref="J368:N372" si="135">J194</f>
        <v>0</v>
      </c>
      <c r="K368" s="499">
        <f t="shared" si="135"/>
        <v>0</v>
      </c>
      <c r="L368" s="499">
        <f t="shared" si="135"/>
        <v>0</v>
      </c>
      <c r="M368" s="499">
        <f t="shared" si="135"/>
        <v>0</v>
      </c>
      <c r="N368" s="499">
        <f t="shared" si="135"/>
        <v>0</v>
      </c>
      <c r="O368" s="502">
        <f>SUM(J368:N368)</f>
        <v>0</v>
      </c>
      <c r="P368" s="499"/>
      <c r="Q368" s="499"/>
      <c r="U368" s="492"/>
      <c r="V368" s="492"/>
    </row>
    <row r="369" spans="1:22" s="497" customFormat="1" ht="12.75" hidden="1" customHeight="1" x14ac:dyDescent="0.25">
      <c r="A369" s="518" t="s">
        <v>314</v>
      </c>
      <c r="B369" s="498"/>
      <c r="C369" s="498"/>
      <c r="D369" s="499">
        <f t="shared" si="134"/>
        <v>0</v>
      </c>
      <c r="E369" s="499">
        <f t="shared" si="134"/>
        <v>0</v>
      </c>
      <c r="F369" s="499">
        <f t="shared" si="134"/>
        <v>0</v>
      </c>
      <c r="G369" s="499">
        <f t="shared" si="134"/>
        <v>0</v>
      </c>
      <c r="H369" s="499">
        <f t="shared" si="134"/>
        <v>0</v>
      </c>
      <c r="I369" s="502">
        <f t="shared" ref="I369:I372" si="136">SUM(D369:H369)</f>
        <v>0</v>
      </c>
      <c r="J369" s="499">
        <f t="shared" si="135"/>
        <v>0</v>
      </c>
      <c r="K369" s="499">
        <f t="shared" si="135"/>
        <v>0</v>
      </c>
      <c r="L369" s="499">
        <f t="shared" si="135"/>
        <v>0</v>
      </c>
      <c r="M369" s="499">
        <f t="shared" si="135"/>
        <v>0</v>
      </c>
      <c r="N369" s="499">
        <f t="shared" si="135"/>
        <v>0</v>
      </c>
      <c r="O369" s="502">
        <f t="shared" ref="O369:O372" si="137">SUM(J369:N369)</f>
        <v>0</v>
      </c>
      <c r="P369" s="499"/>
      <c r="Q369" s="499"/>
      <c r="U369" s="492"/>
      <c r="V369" s="492"/>
    </row>
    <row r="370" spans="1:22" s="497" customFormat="1" ht="12.75" hidden="1" customHeight="1" x14ac:dyDescent="0.25">
      <c r="A370" s="518" t="s">
        <v>315</v>
      </c>
      <c r="B370" s="498"/>
      <c r="C370" s="498"/>
      <c r="D370" s="499">
        <f t="shared" si="134"/>
        <v>0</v>
      </c>
      <c r="E370" s="499">
        <f t="shared" si="134"/>
        <v>0</v>
      </c>
      <c r="F370" s="499">
        <f t="shared" si="134"/>
        <v>0</v>
      </c>
      <c r="G370" s="499">
        <f t="shared" si="134"/>
        <v>0</v>
      </c>
      <c r="H370" s="499">
        <f t="shared" si="134"/>
        <v>0</v>
      </c>
      <c r="I370" s="502">
        <f t="shared" si="136"/>
        <v>0</v>
      </c>
      <c r="J370" s="499">
        <f t="shared" si="135"/>
        <v>0</v>
      </c>
      <c r="K370" s="499">
        <f t="shared" si="135"/>
        <v>0</v>
      </c>
      <c r="L370" s="499">
        <f t="shared" si="135"/>
        <v>0</v>
      </c>
      <c r="M370" s="499">
        <f t="shared" si="135"/>
        <v>0</v>
      </c>
      <c r="N370" s="499">
        <f t="shared" si="135"/>
        <v>0</v>
      </c>
      <c r="O370" s="502">
        <f t="shared" si="137"/>
        <v>0</v>
      </c>
      <c r="P370" s="499"/>
      <c r="Q370" s="499"/>
      <c r="U370" s="492"/>
      <c r="V370" s="492"/>
    </row>
    <row r="371" spans="1:22" s="497" customFormat="1" ht="12.75" hidden="1" customHeight="1" x14ac:dyDescent="0.25">
      <c r="A371" s="518" t="s">
        <v>316</v>
      </c>
      <c r="B371" s="498"/>
      <c r="C371" s="498"/>
      <c r="D371" s="499">
        <f t="shared" si="134"/>
        <v>0</v>
      </c>
      <c r="E371" s="499">
        <f t="shared" si="134"/>
        <v>0</v>
      </c>
      <c r="F371" s="499">
        <f t="shared" si="134"/>
        <v>0</v>
      </c>
      <c r="G371" s="499">
        <f t="shared" si="134"/>
        <v>0</v>
      </c>
      <c r="H371" s="499">
        <f t="shared" si="134"/>
        <v>0</v>
      </c>
      <c r="I371" s="502">
        <f t="shared" si="136"/>
        <v>0</v>
      </c>
      <c r="J371" s="499">
        <f t="shared" si="135"/>
        <v>0</v>
      </c>
      <c r="K371" s="499">
        <f t="shared" si="135"/>
        <v>0</v>
      </c>
      <c r="L371" s="499">
        <f t="shared" si="135"/>
        <v>0</v>
      </c>
      <c r="M371" s="499">
        <f t="shared" si="135"/>
        <v>0</v>
      </c>
      <c r="N371" s="499">
        <f t="shared" si="135"/>
        <v>0</v>
      </c>
      <c r="O371" s="502">
        <f t="shared" si="137"/>
        <v>0</v>
      </c>
      <c r="P371" s="499"/>
      <c r="Q371" s="499"/>
      <c r="U371" s="492"/>
      <c r="V371" s="492"/>
    </row>
    <row r="372" spans="1:22" s="497" customFormat="1" ht="12.75" hidden="1" customHeight="1" x14ac:dyDescent="0.25">
      <c r="A372" s="518" t="s">
        <v>317</v>
      </c>
      <c r="B372" s="498"/>
      <c r="C372" s="498"/>
      <c r="D372" s="499">
        <f t="shared" si="134"/>
        <v>0</v>
      </c>
      <c r="E372" s="499">
        <f t="shared" si="134"/>
        <v>0</v>
      </c>
      <c r="F372" s="499">
        <f t="shared" si="134"/>
        <v>0</v>
      </c>
      <c r="G372" s="499">
        <f t="shared" si="134"/>
        <v>0</v>
      </c>
      <c r="H372" s="499">
        <f t="shared" si="134"/>
        <v>0</v>
      </c>
      <c r="I372" s="502">
        <f t="shared" si="136"/>
        <v>0</v>
      </c>
      <c r="J372" s="499">
        <f t="shared" si="135"/>
        <v>0</v>
      </c>
      <c r="K372" s="499">
        <f t="shared" si="135"/>
        <v>0</v>
      </c>
      <c r="L372" s="499">
        <f t="shared" si="135"/>
        <v>0</v>
      </c>
      <c r="M372" s="499">
        <f t="shared" si="135"/>
        <v>0</v>
      </c>
      <c r="N372" s="499">
        <f t="shared" si="135"/>
        <v>0</v>
      </c>
      <c r="O372" s="502">
        <f t="shared" si="137"/>
        <v>0</v>
      </c>
      <c r="P372" s="499"/>
      <c r="Q372" s="499"/>
      <c r="U372" s="492"/>
      <c r="V372" s="492"/>
    </row>
    <row r="373" spans="1:22" s="497" customFormat="1" ht="12.75" hidden="1" customHeight="1" x14ac:dyDescent="0.25">
      <c r="A373" s="518"/>
      <c r="B373" s="498"/>
      <c r="C373" s="498"/>
      <c r="D373" s="499"/>
      <c r="E373" s="499"/>
      <c r="F373" s="499"/>
      <c r="G373" s="499"/>
      <c r="H373" s="499"/>
      <c r="I373" s="502"/>
      <c r="J373" s="499"/>
      <c r="K373" s="499"/>
      <c r="L373" s="499"/>
      <c r="M373" s="499"/>
      <c r="N373" s="499"/>
      <c r="O373" s="499"/>
      <c r="P373" s="499"/>
      <c r="Q373" s="499"/>
      <c r="U373" s="492"/>
      <c r="V373" s="492"/>
    </row>
    <row r="374" spans="1:22" s="497" customFormat="1" ht="12.75" hidden="1" customHeight="1" x14ac:dyDescent="0.25">
      <c r="A374" s="518" t="s">
        <v>327</v>
      </c>
      <c r="B374" s="498"/>
      <c r="C374" s="498"/>
      <c r="D374" s="499"/>
      <c r="E374" s="499"/>
      <c r="F374" s="499"/>
      <c r="G374" s="499"/>
      <c r="H374" s="499"/>
      <c r="I374" s="502">
        <f>IF(SUM(I$103:I$104)*I$103=0,0,I105/SUM(I$103:I$104)*I$103)</f>
        <v>0</v>
      </c>
      <c r="J374" s="499"/>
      <c r="K374" s="499"/>
      <c r="L374" s="499"/>
      <c r="M374" s="499"/>
      <c r="N374" s="499"/>
      <c r="O374" s="502">
        <f>IF(SUM(O$103:O$104)*O$103=0,0,O105/SUM(O$103:O$104)*O$103)</f>
        <v>0</v>
      </c>
      <c r="P374" s="499"/>
      <c r="Q374" s="499"/>
      <c r="U374" s="492"/>
      <c r="V374" s="492"/>
    </row>
    <row r="375" spans="1:22" s="497" customFormat="1" ht="12.75" hidden="1" customHeight="1" x14ac:dyDescent="0.25">
      <c r="A375" s="518" t="s">
        <v>328</v>
      </c>
      <c r="B375" s="498"/>
      <c r="C375" s="498"/>
      <c r="D375" s="499"/>
      <c r="E375" s="499"/>
      <c r="F375" s="499"/>
      <c r="G375" s="499"/>
      <c r="H375" s="499"/>
      <c r="I375" s="502">
        <f>IF(SUM(I$103:I$104)*I$103=0,0,I106/SUM(I$103:I$104)*I$103)</f>
        <v>0</v>
      </c>
      <c r="J375" s="499"/>
      <c r="K375" s="499"/>
      <c r="L375" s="499"/>
      <c r="M375" s="499"/>
      <c r="N375" s="499"/>
      <c r="O375" s="502">
        <f>IF(SUM(O$103:O$104)*O$103=0,0,O106/SUM(O$103:O$104)*O$103)</f>
        <v>0</v>
      </c>
      <c r="P375" s="499"/>
      <c r="Q375" s="499"/>
      <c r="U375" s="492"/>
      <c r="V375" s="492"/>
    </row>
    <row r="376" spans="1:22" s="497" customFormat="1" ht="12.75" hidden="1" customHeight="1" x14ac:dyDescent="0.25">
      <c r="A376" s="518" t="s">
        <v>329</v>
      </c>
      <c r="B376" s="498"/>
      <c r="C376" s="498"/>
      <c r="D376" s="499"/>
      <c r="E376" s="499"/>
      <c r="F376" s="499"/>
      <c r="G376" s="499"/>
      <c r="H376" s="499"/>
      <c r="I376" s="502">
        <f>IF(SUM(I$103:I$104)*I$103=0,0,I107/SUM(I$103:I$104)*I$103)</f>
        <v>0</v>
      </c>
      <c r="J376" s="499"/>
      <c r="K376" s="499"/>
      <c r="L376" s="499"/>
      <c r="M376" s="499"/>
      <c r="N376" s="499"/>
      <c r="O376" s="502">
        <f>IF(SUM(O$103:O$104)*O$103=0,0,O107/SUM(O$103:O$104)*O$103)</f>
        <v>0</v>
      </c>
      <c r="P376" s="499"/>
      <c r="Q376" s="499"/>
      <c r="U376" s="492"/>
      <c r="V376" s="492"/>
    </row>
    <row r="377" spans="1:22" s="497" customFormat="1" ht="12.75" hidden="1" customHeight="1" x14ac:dyDescent="0.25">
      <c r="A377" s="518" t="s">
        <v>330</v>
      </c>
      <c r="B377" s="498"/>
      <c r="C377" s="498"/>
      <c r="D377" s="499"/>
      <c r="E377" s="499"/>
      <c r="F377" s="499"/>
      <c r="G377" s="499"/>
      <c r="H377" s="499"/>
      <c r="I377" s="502">
        <f>IF(SUM(I$103:I$104)*I$103=0,0,I108/SUM(I$103:I$104)*I$103)</f>
        <v>0</v>
      </c>
      <c r="J377" s="499"/>
      <c r="K377" s="499"/>
      <c r="L377" s="499"/>
      <c r="M377" s="499"/>
      <c r="N377" s="499"/>
      <c r="O377" s="502">
        <f>IF(SUM(O$103:O$104)*O$103=0,0,O108/SUM(O$103:O$104)*O$103)</f>
        <v>0</v>
      </c>
      <c r="P377" s="499"/>
      <c r="Q377" s="499"/>
      <c r="U377" s="492"/>
      <c r="V377" s="492"/>
    </row>
    <row r="378" spans="1:22" s="497" customFormat="1" ht="12.75" hidden="1" customHeight="1" x14ac:dyDescent="0.25">
      <c r="A378" s="518" t="s">
        <v>331</v>
      </c>
      <c r="B378" s="498"/>
      <c r="C378" s="498"/>
      <c r="D378" s="499"/>
      <c r="E378" s="499"/>
      <c r="F378" s="499"/>
      <c r="G378" s="499"/>
      <c r="H378" s="499"/>
      <c r="I378" s="502">
        <f>IF(SUM(I$103:I$104)*I$103=0,0,I109/SUM(I$103:I$104)*I$103)</f>
        <v>0</v>
      </c>
      <c r="J378" s="499"/>
      <c r="K378" s="499"/>
      <c r="L378" s="499"/>
      <c r="M378" s="499"/>
      <c r="N378" s="499"/>
      <c r="O378" s="502">
        <f>IF(SUM(O$103:O$104)*O$103=0,0,O109/SUM(O$103:O$104)*O$103)</f>
        <v>0</v>
      </c>
      <c r="P378" s="499"/>
      <c r="Q378" s="499"/>
      <c r="U378" s="492"/>
      <c r="V378" s="492"/>
    </row>
    <row r="379" spans="1:22" s="497" customFormat="1" ht="12.75" hidden="1" customHeight="1" x14ac:dyDescent="0.25">
      <c r="A379" s="518"/>
      <c r="B379" s="498"/>
      <c r="C379" s="498"/>
      <c r="D379" s="499"/>
      <c r="E379" s="499"/>
      <c r="F379" s="499"/>
      <c r="G379" s="499"/>
      <c r="H379" s="499"/>
      <c r="I379" s="499"/>
      <c r="J379" s="499"/>
      <c r="K379" s="499"/>
      <c r="L379" s="499"/>
      <c r="M379" s="499"/>
      <c r="N379" s="499"/>
      <c r="O379" s="502"/>
      <c r="P379" s="499"/>
      <c r="Q379" s="499"/>
      <c r="U379" s="492"/>
      <c r="V379" s="492"/>
    </row>
    <row r="380" spans="1:22" s="497" customFormat="1" ht="12.75" hidden="1" customHeight="1" x14ac:dyDescent="0.25">
      <c r="A380" s="518"/>
      <c r="B380" s="498"/>
      <c r="C380" s="498"/>
      <c r="D380" s="499"/>
      <c r="E380" s="499"/>
      <c r="F380" s="499"/>
      <c r="G380" s="499"/>
      <c r="H380" s="499"/>
      <c r="I380" s="499"/>
      <c r="J380" s="499"/>
      <c r="K380" s="499"/>
      <c r="L380" s="499"/>
      <c r="M380" s="499"/>
      <c r="N380" s="499"/>
      <c r="O380" s="502"/>
      <c r="P380" s="499"/>
      <c r="Q380" s="499"/>
      <c r="U380" s="492"/>
      <c r="V380" s="492"/>
    </row>
    <row r="381" spans="1:22" s="497" customFormat="1" ht="12.75" hidden="1" customHeight="1" x14ac:dyDescent="0.25">
      <c r="A381" s="518" t="s">
        <v>332</v>
      </c>
      <c r="B381" s="498"/>
      <c r="C381" s="498"/>
      <c r="D381" s="499"/>
      <c r="E381" s="499"/>
      <c r="F381" s="499"/>
      <c r="G381" s="499"/>
      <c r="H381" s="499"/>
      <c r="I381" s="502">
        <f>SUM(D204:H204)</f>
        <v>0</v>
      </c>
      <c r="J381" s="499"/>
      <c r="K381" s="499"/>
      <c r="L381" s="499"/>
      <c r="M381" s="499"/>
      <c r="N381" s="499"/>
      <c r="O381" s="502">
        <f>SUM(J204:N204)</f>
        <v>0</v>
      </c>
      <c r="P381" s="499"/>
      <c r="Q381" s="499"/>
      <c r="U381" s="492"/>
      <c r="V381" s="492"/>
    </row>
    <row r="382" spans="1:22" s="497" customFormat="1" ht="12.75" hidden="1" customHeight="1" x14ac:dyDescent="0.25">
      <c r="A382" s="518" t="s">
        <v>333</v>
      </c>
      <c r="B382" s="498"/>
      <c r="C382" s="498"/>
      <c r="D382" s="499"/>
      <c r="E382" s="499"/>
      <c r="F382" s="499"/>
      <c r="G382" s="499"/>
      <c r="H382" s="499"/>
      <c r="I382" s="502">
        <f>T111</f>
        <v>0</v>
      </c>
      <c r="J382" s="499"/>
      <c r="K382" s="499"/>
      <c r="L382" s="499"/>
      <c r="M382" s="499"/>
      <c r="N382" s="499"/>
      <c r="O382" s="502">
        <f>T113</f>
        <v>0</v>
      </c>
      <c r="P382" s="499"/>
      <c r="Q382" s="499"/>
      <c r="U382" s="492"/>
      <c r="V382" s="492"/>
    </row>
    <row r="383" spans="1:22" s="497" customFormat="1" ht="12.75" hidden="1" customHeight="1" x14ac:dyDescent="0.25">
      <c r="B383" s="498"/>
      <c r="C383" s="498"/>
      <c r="D383" s="499"/>
      <c r="E383" s="499"/>
      <c r="F383" s="499"/>
      <c r="G383" s="499"/>
      <c r="H383" s="499"/>
      <c r="I383" s="499"/>
      <c r="J383" s="499"/>
      <c r="K383" s="499"/>
      <c r="L383" s="499"/>
      <c r="M383" s="499"/>
      <c r="N383" s="499"/>
      <c r="O383" s="499"/>
      <c r="P383" s="499"/>
      <c r="Q383" s="499"/>
      <c r="U383" s="492"/>
      <c r="V383" s="492"/>
    </row>
    <row r="384" spans="1:22" s="497" customFormat="1" ht="12.75" hidden="1" customHeight="1" x14ac:dyDescent="0.25">
      <c r="B384" s="498"/>
      <c r="C384" s="498"/>
      <c r="D384" s="499"/>
      <c r="E384" s="499"/>
      <c r="F384" s="499"/>
      <c r="G384" s="499"/>
      <c r="H384" s="499"/>
      <c r="I384" s="499"/>
      <c r="J384" s="499"/>
      <c r="K384" s="499"/>
      <c r="L384" s="499"/>
      <c r="M384" s="499"/>
      <c r="N384" s="499"/>
      <c r="O384" s="499"/>
      <c r="P384" s="499"/>
      <c r="Q384" s="499"/>
      <c r="U384" s="492"/>
      <c r="V384" s="492"/>
    </row>
    <row r="385" spans="1:22" s="497" customFormat="1" ht="12.75" hidden="1" customHeight="1" x14ac:dyDescent="0.25">
      <c r="B385" s="498"/>
      <c r="C385" s="498"/>
      <c r="D385" s="499"/>
      <c r="E385" s="499"/>
      <c r="F385" s="499"/>
      <c r="G385" s="499"/>
      <c r="H385" s="499"/>
      <c r="I385" s="499"/>
      <c r="J385" s="499"/>
      <c r="K385" s="499"/>
      <c r="L385" s="499"/>
      <c r="M385" s="499"/>
      <c r="N385" s="499"/>
      <c r="O385" s="499"/>
      <c r="P385" s="499"/>
      <c r="Q385" s="499"/>
      <c r="U385" s="492"/>
      <c r="V385" s="492"/>
    </row>
    <row r="386" spans="1:22" s="497" customFormat="1" ht="12.75" hidden="1" customHeight="1" x14ac:dyDescent="0.25">
      <c r="B386" s="498"/>
      <c r="C386" s="498"/>
      <c r="D386" s="499"/>
      <c r="E386" s="499"/>
      <c r="F386" s="499"/>
      <c r="G386" s="499"/>
      <c r="H386" s="499"/>
      <c r="I386" s="499"/>
      <c r="J386" s="499"/>
      <c r="K386" s="499"/>
      <c r="L386" s="499"/>
      <c r="M386" s="499"/>
      <c r="N386" s="499"/>
      <c r="O386" s="499"/>
      <c r="P386" s="499"/>
      <c r="Q386" s="499"/>
      <c r="U386" s="492"/>
      <c r="V386" s="492"/>
    </row>
    <row r="387" spans="1:22" s="497" customFormat="1" ht="12.75" hidden="1" customHeight="1" x14ac:dyDescent="0.25">
      <c r="B387" s="498"/>
      <c r="C387" s="498"/>
      <c r="D387" s="499"/>
      <c r="E387" s="499"/>
      <c r="F387" s="499"/>
      <c r="G387" s="499"/>
      <c r="H387" s="499"/>
      <c r="I387" s="499"/>
      <c r="J387" s="499"/>
      <c r="K387" s="499"/>
      <c r="L387" s="499"/>
      <c r="M387" s="499"/>
      <c r="N387" s="499"/>
      <c r="O387" s="499"/>
      <c r="P387" s="499"/>
      <c r="Q387" s="499"/>
      <c r="U387" s="492"/>
      <c r="V387" s="492"/>
    </row>
    <row r="388" spans="1:22" s="497" customFormat="1" ht="12.75" hidden="1" customHeight="1" x14ac:dyDescent="0.25">
      <c r="B388" s="498"/>
      <c r="C388" s="498"/>
      <c r="D388" s="499"/>
      <c r="E388" s="499"/>
      <c r="F388" s="499"/>
      <c r="G388" s="499"/>
      <c r="H388" s="499"/>
      <c r="I388" s="499"/>
      <c r="J388" s="499"/>
      <c r="K388" s="499"/>
      <c r="L388" s="499"/>
      <c r="M388" s="499"/>
      <c r="N388" s="499"/>
      <c r="O388" s="499"/>
      <c r="P388" s="499"/>
      <c r="Q388" s="499"/>
      <c r="U388" s="492"/>
      <c r="V388" s="492"/>
    </row>
    <row r="389" spans="1:22" s="497" customFormat="1" ht="12.75" hidden="1" customHeight="1" x14ac:dyDescent="0.25">
      <c r="B389" s="498"/>
      <c r="C389" s="498"/>
      <c r="D389" s="499"/>
      <c r="E389" s="499"/>
      <c r="F389" s="499"/>
      <c r="G389" s="499"/>
      <c r="H389" s="499"/>
      <c r="I389" s="499"/>
      <c r="J389" s="499"/>
      <c r="K389" s="499"/>
      <c r="L389" s="499"/>
      <c r="M389" s="499"/>
      <c r="N389" s="499"/>
      <c r="O389" s="499"/>
      <c r="P389" s="499"/>
      <c r="Q389" s="499"/>
      <c r="U389" s="492"/>
      <c r="V389" s="492"/>
    </row>
    <row r="390" spans="1:22" s="497" customFormat="1" ht="12.75" hidden="1" customHeight="1" x14ac:dyDescent="0.25">
      <c r="B390" s="498"/>
      <c r="C390" s="498"/>
      <c r="D390" s="499"/>
      <c r="E390" s="499"/>
      <c r="F390" s="499"/>
      <c r="G390" s="499"/>
      <c r="H390" s="499"/>
      <c r="I390" s="499"/>
      <c r="J390" s="499"/>
      <c r="K390" s="499"/>
      <c r="L390" s="499"/>
      <c r="M390" s="499"/>
      <c r="N390" s="499"/>
      <c r="O390" s="499"/>
      <c r="P390" s="499"/>
      <c r="Q390" s="499"/>
      <c r="U390" s="492"/>
      <c r="V390" s="492"/>
    </row>
    <row r="391" spans="1:22" s="497" customFormat="1" ht="12.75" hidden="1" customHeight="1" x14ac:dyDescent="0.25">
      <c r="A391" s="497" t="s">
        <v>320</v>
      </c>
      <c r="B391" s="498"/>
      <c r="C391" s="498"/>
      <c r="D391" s="499">
        <f t="shared" ref="D391:O391" si="138">MAX(0,D265-D276-D289)</f>
        <v>0</v>
      </c>
      <c r="E391" s="499">
        <f t="shared" si="138"/>
        <v>0</v>
      </c>
      <c r="F391" s="499">
        <f t="shared" si="138"/>
        <v>0</v>
      </c>
      <c r="G391" s="499">
        <f t="shared" si="138"/>
        <v>0</v>
      </c>
      <c r="H391" s="499">
        <f t="shared" si="138"/>
        <v>0</v>
      </c>
      <c r="I391" s="499">
        <f t="shared" si="138"/>
        <v>0</v>
      </c>
      <c r="J391" s="499">
        <f t="shared" si="138"/>
        <v>0</v>
      </c>
      <c r="K391" s="499">
        <f t="shared" si="138"/>
        <v>0</v>
      </c>
      <c r="L391" s="499">
        <f t="shared" si="138"/>
        <v>0</v>
      </c>
      <c r="M391" s="499">
        <f t="shared" si="138"/>
        <v>0</v>
      </c>
      <c r="N391" s="499">
        <f t="shared" si="138"/>
        <v>0</v>
      </c>
      <c r="O391" s="499">
        <f t="shared" si="138"/>
        <v>0</v>
      </c>
      <c r="P391" s="499"/>
      <c r="Q391" s="499"/>
      <c r="U391" s="492"/>
      <c r="V391" s="492"/>
    </row>
    <row r="392" spans="1:22" s="497" customFormat="1" ht="12.75" hidden="1" customHeight="1" x14ac:dyDescent="0.25">
      <c r="A392" s="497" t="s">
        <v>321</v>
      </c>
      <c r="B392" s="498"/>
      <c r="C392" s="498"/>
      <c r="D392" s="499">
        <f>D293-C293</f>
        <v>0</v>
      </c>
      <c r="E392" s="499">
        <f t="shared" ref="E392:O392" si="139">E293-D293</f>
        <v>0</v>
      </c>
      <c r="F392" s="499">
        <f t="shared" si="139"/>
        <v>0</v>
      </c>
      <c r="G392" s="499">
        <f t="shared" si="139"/>
        <v>0</v>
      </c>
      <c r="H392" s="499">
        <f t="shared" si="139"/>
        <v>0</v>
      </c>
      <c r="I392" s="499">
        <f t="shared" si="139"/>
        <v>0</v>
      </c>
      <c r="J392" s="499">
        <f t="shared" si="139"/>
        <v>0</v>
      </c>
      <c r="K392" s="499">
        <f t="shared" si="139"/>
        <v>0</v>
      </c>
      <c r="L392" s="499">
        <f t="shared" si="139"/>
        <v>0</v>
      </c>
      <c r="M392" s="499">
        <f t="shared" si="139"/>
        <v>0</v>
      </c>
      <c r="N392" s="499">
        <f t="shared" si="139"/>
        <v>0</v>
      </c>
      <c r="O392" s="499">
        <f t="shared" si="139"/>
        <v>0</v>
      </c>
      <c r="P392" s="499"/>
      <c r="Q392" s="499"/>
      <c r="U392" s="492"/>
      <c r="V392" s="492"/>
    </row>
    <row r="393" spans="1:22" s="497" customFormat="1" ht="12.75" hidden="1" customHeight="1" x14ac:dyDescent="0.25">
      <c r="B393" s="498"/>
      <c r="C393" s="498"/>
      <c r="D393" s="499"/>
      <c r="E393" s="499"/>
      <c r="F393" s="499"/>
      <c r="G393" s="499"/>
      <c r="H393" s="499"/>
      <c r="I393" s="499"/>
      <c r="J393" s="499"/>
      <c r="K393" s="499"/>
      <c r="L393" s="499"/>
      <c r="M393" s="499"/>
      <c r="N393" s="499"/>
      <c r="O393" s="499"/>
      <c r="P393" s="499"/>
      <c r="Q393" s="499"/>
      <c r="U393" s="492"/>
      <c r="V393" s="492"/>
    </row>
    <row r="394" spans="1:22" s="497" customFormat="1" ht="12.75" hidden="1" customHeight="1" x14ac:dyDescent="0.25">
      <c r="B394" s="498"/>
      <c r="C394" s="498"/>
      <c r="D394" s="499"/>
      <c r="E394" s="499"/>
      <c r="F394" s="499"/>
      <c r="G394" s="499"/>
      <c r="H394" s="499"/>
      <c r="I394" s="499"/>
      <c r="J394" s="499"/>
      <c r="K394" s="499"/>
      <c r="L394" s="499"/>
      <c r="M394" s="499"/>
      <c r="N394" s="499"/>
      <c r="O394" s="499"/>
      <c r="P394" s="499"/>
      <c r="Q394" s="499"/>
      <c r="U394" s="492"/>
      <c r="V394" s="492"/>
    </row>
    <row r="395" spans="1:22" s="497" customFormat="1" ht="12.75" hidden="1" customHeight="1" x14ac:dyDescent="0.25">
      <c r="B395" s="498"/>
      <c r="C395" s="498"/>
      <c r="D395" s="499"/>
      <c r="E395" s="499"/>
      <c r="F395" s="499"/>
      <c r="G395" s="499"/>
      <c r="H395" s="499"/>
      <c r="I395" s="499"/>
      <c r="J395" s="499"/>
      <c r="K395" s="499"/>
      <c r="L395" s="499"/>
      <c r="M395" s="499"/>
      <c r="N395" s="499"/>
      <c r="O395" s="499"/>
      <c r="P395" s="499"/>
      <c r="Q395" s="499"/>
      <c r="U395" s="492"/>
      <c r="V395" s="492"/>
    </row>
    <row r="396" spans="1:22" s="497" customFormat="1" ht="12.75" hidden="1" customHeight="1" x14ac:dyDescent="0.25">
      <c r="A396" s="497" t="s">
        <v>323</v>
      </c>
      <c r="B396" s="498"/>
      <c r="C396" s="498"/>
      <c r="D396" s="499">
        <f t="shared" ref="D396:O396" si="140">MAX(0,D214-D250)</f>
        <v>0</v>
      </c>
      <c r="E396" s="499">
        <f t="shared" si="140"/>
        <v>0</v>
      </c>
      <c r="F396" s="499">
        <f t="shared" si="140"/>
        <v>0</v>
      </c>
      <c r="G396" s="499">
        <f t="shared" si="140"/>
        <v>0</v>
      </c>
      <c r="H396" s="499">
        <f t="shared" si="140"/>
        <v>0</v>
      </c>
      <c r="I396" s="499">
        <f t="shared" si="140"/>
        <v>0</v>
      </c>
      <c r="J396" s="499">
        <f t="shared" si="140"/>
        <v>0</v>
      </c>
      <c r="K396" s="499">
        <f t="shared" si="140"/>
        <v>0</v>
      </c>
      <c r="L396" s="499">
        <f t="shared" si="140"/>
        <v>0</v>
      </c>
      <c r="M396" s="499">
        <f t="shared" si="140"/>
        <v>0</v>
      </c>
      <c r="N396" s="499">
        <f t="shared" si="140"/>
        <v>0</v>
      </c>
      <c r="O396" s="499">
        <f t="shared" si="140"/>
        <v>0</v>
      </c>
      <c r="P396" s="499"/>
      <c r="Q396" s="499"/>
      <c r="U396" s="492"/>
      <c r="V396" s="492"/>
    </row>
    <row r="397" spans="1:22" s="497" customFormat="1" ht="12.75" hidden="1" customHeight="1" x14ac:dyDescent="0.25">
      <c r="A397" s="497" t="s">
        <v>324</v>
      </c>
      <c r="B397" s="498"/>
      <c r="C397" s="498"/>
      <c r="D397" s="499">
        <f>D396*5%</f>
        <v>0</v>
      </c>
      <c r="E397" s="499">
        <f t="shared" ref="E397:O397" si="141">E396*5%</f>
        <v>0</v>
      </c>
      <c r="F397" s="499">
        <f t="shared" si="141"/>
        <v>0</v>
      </c>
      <c r="G397" s="499">
        <f t="shared" si="141"/>
        <v>0</v>
      </c>
      <c r="H397" s="499">
        <f t="shared" si="141"/>
        <v>0</v>
      </c>
      <c r="I397" s="499">
        <f t="shared" si="141"/>
        <v>0</v>
      </c>
      <c r="J397" s="499">
        <f t="shared" si="141"/>
        <v>0</v>
      </c>
      <c r="K397" s="499">
        <f t="shared" si="141"/>
        <v>0</v>
      </c>
      <c r="L397" s="499">
        <f t="shared" si="141"/>
        <v>0</v>
      </c>
      <c r="M397" s="499">
        <f t="shared" si="141"/>
        <v>0</v>
      </c>
      <c r="N397" s="499">
        <f t="shared" si="141"/>
        <v>0</v>
      </c>
      <c r="O397" s="499">
        <f t="shared" si="141"/>
        <v>0</v>
      </c>
      <c r="P397" s="499"/>
      <c r="Q397" s="499"/>
      <c r="U397" s="492"/>
      <c r="V397" s="492"/>
    </row>
    <row r="398" spans="1:22" s="497" customFormat="1" ht="12.75" hidden="1" customHeight="1" x14ac:dyDescent="0.25">
      <c r="B398" s="498"/>
      <c r="C398" s="498"/>
      <c r="D398" s="499"/>
      <c r="E398" s="499"/>
      <c r="F398" s="499"/>
      <c r="G398" s="499"/>
      <c r="H398" s="499"/>
      <c r="I398" s="499"/>
      <c r="J398" s="499"/>
      <c r="K398" s="499"/>
      <c r="L398" s="499"/>
      <c r="M398" s="499"/>
      <c r="N398" s="499"/>
      <c r="O398" s="499"/>
      <c r="P398" s="499"/>
      <c r="Q398" s="499"/>
      <c r="U398" s="492"/>
      <c r="V398" s="492"/>
    </row>
    <row r="399" spans="1:22" s="497" customFormat="1" ht="12.75" hidden="1" customHeight="1" x14ac:dyDescent="0.25">
      <c r="B399" s="498"/>
      <c r="C399" s="498"/>
      <c r="D399" s="499"/>
      <c r="E399" s="499"/>
      <c r="F399" s="499"/>
      <c r="G399" s="499"/>
      <c r="H399" s="499"/>
      <c r="I399" s="499"/>
      <c r="J399" s="499"/>
      <c r="K399" s="499"/>
      <c r="L399" s="499"/>
      <c r="M399" s="499"/>
      <c r="N399" s="499"/>
      <c r="O399" s="499"/>
      <c r="P399" s="499"/>
      <c r="Q399" s="499"/>
      <c r="U399" s="492"/>
      <c r="V399" s="492"/>
    </row>
    <row r="400" spans="1:22" s="497" customFormat="1" ht="12.75" hidden="1" customHeight="1" x14ac:dyDescent="0.25">
      <c r="A400" s="523"/>
      <c r="B400" s="498"/>
      <c r="C400" s="498"/>
      <c r="D400" s="499"/>
      <c r="E400" s="499"/>
      <c r="F400" s="499"/>
      <c r="G400" s="499"/>
      <c r="H400" s="499"/>
      <c r="I400" s="499"/>
      <c r="J400" s="499"/>
      <c r="K400" s="499"/>
      <c r="L400" s="499"/>
      <c r="M400" s="499"/>
      <c r="N400" s="499"/>
      <c r="O400" s="499"/>
      <c r="P400" s="499"/>
      <c r="Q400" s="499"/>
      <c r="U400" s="492"/>
      <c r="V400" s="492"/>
    </row>
    <row r="401" spans="1:22" s="497" customFormat="1" ht="12.75" customHeight="1" x14ac:dyDescent="0.25">
      <c r="B401" s="498"/>
      <c r="C401" s="498"/>
      <c r="D401" s="499"/>
      <c r="E401" s="499"/>
      <c r="F401" s="499"/>
      <c r="G401" s="499"/>
      <c r="H401" s="499"/>
      <c r="I401" s="499"/>
      <c r="J401" s="499"/>
      <c r="K401" s="499"/>
      <c r="L401" s="499"/>
      <c r="M401" s="499"/>
      <c r="N401" s="499"/>
      <c r="O401" s="499"/>
      <c r="P401" s="499"/>
      <c r="Q401" s="499"/>
      <c r="U401" s="492"/>
      <c r="V401" s="492"/>
    </row>
    <row r="402" spans="1:22" s="497" customFormat="1" ht="12.75" customHeight="1" x14ac:dyDescent="0.25">
      <c r="A402" s="500"/>
      <c r="B402" s="501"/>
      <c r="C402" s="498"/>
      <c r="D402" s="502"/>
      <c r="E402" s="502"/>
      <c r="F402" s="502"/>
      <c r="G402" s="502"/>
      <c r="H402" s="502"/>
      <c r="I402" s="502"/>
      <c r="J402" s="502"/>
      <c r="K402" s="502"/>
      <c r="L402" s="502"/>
      <c r="M402" s="502"/>
      <c r="N402" s="502"/>
      <c r="O402" s="502"/>
      <c r="P402" s="499"/>
      <c r="Q402" s="499"/>
      <c r="U402" s="492"/>
      <c r="V402" s="492"/>
    </row>
    <row r="403" spans="1:22" s="497" customFormat="1" ht="12.75" customHeight="1" x14ac:dyDescent="0.25">
      <c r="B403" s="498"/>
      <c r="C403" s="498"/>
      <c r="D403" s="499"/>
      <c r="E403" s="499"/>
      <c r="F403" s="499"/>
      <c r="G403" s="499"/>
      <c r="H403" s="499"/>
      <c r="I403" s="499"/>
      <c r="J403" s="499"/>
      <c r="K403" s="499"/>
      <c r="L403" s="499"/>
      <c r="M403" s="499"/>
      <c r="N403" s="499"/>
      <c r="O403" s="499"/>
      <c r="P403" s="499"/>
      <c r="Q403" s="499"/>
      <c r="U403" s="492"/>
      <c r="V403" s="492"/>
    </row>
    <row r="404" spans="1:22" s="497" customFormat="1" ht="12.75" customHeight="1" x14ac:dyDescent="0.25">
      <c r="A404" s="500"/>
      <c r="B404" s="501"/>
      <c r="C404" s="498"/>
      <c r="D404" s="502"/>
      <c r="E404" s="502"/>
      <c r="F404" s="502"/>
      <c r="G404" s="502"/>
      <c r="H404" s="502"/>
      <c r="I404" s="502"/>
      <c r="J404" s="502"/>
      <c r="K404" s="502"/>
      <c r="L404" s="502"/>
      <c r="M404" s="502"/>
      <c r="N404" s="502"/>
      <c r="O404" s="502"/>
      <c r="P404" s="499"/>
      <c r="Q404" s="499"/>
      <c r="U404" s="492"/>
      <c r="V404" s="492"/>
    </row>
    <row r="405" spans="1:22" s="497" customFormat="1" ht="12.75" customHeight="1" x14ac:dyDescent="0.25">
      <c r="B405" s="498"/>
      <c r="C405" s="498"/>
      <c r="D405" s="499"/>
      <c r="E405" s="499"/>
      <c r="F405" s="499"/>
      <c r="G405" s="499"/>
      <c r="H405" s="499"/>
      <c r="I405" s="499"/>
      <c r="J405" s="499"/>
      <c r="K405" s="499"/>
      <c r="L405" s="499"/>
      <c r="M405" s="499"/>
      <c r="N405" s="499"/>
      <c r="O405" s="499"/>
      <c r="P405" s="499"/>
      <c r="Q405" s="499"/>
      <c r="U405" s="492"/>
      <c r="V405" s="492"/>
    </row>
    <row r="406" spans="1:22" s="497" customFormat="1" ht="12.75" customHeight="1" x14ac:dyDescent="0.25">
      <c r="A406" s="500"/>
      <c r="B406" s="501"/>
      <c r="C406" s="498"/>
      <c r="D406" s="502"/>
      <c r="E406" s="502"/>
      <c r="F406" s="502"/>
      <c r="G406" s="502"/>
      <c r="H406" s="502"/>
      <c r="I406" s="502"/>
      <c r="J406" s="502"/>
      <c r="K406" s="502"/>
      <c r="L406" s="502"/>
      <c r="M406" s="502"/>
      <c r="N406" s="502"/>
      <c r="O406" s="502"/>
      <c r="P406" s="499"/>
      <c r="Q406" s="499"/>
      <c r="U406" s="492"/>
      <c r="V406" s="492"/>
    </row>
    <row r="407" spans="1:22" s="497" customFormat="1" ht="12.75" customHeight="1" x14ac:dyDescent="0.25">
      <c r="B407" s="498"/>
      <c r="C407" s="498"/>
      <c r="D407" s="499"/>
      <c r="E407" s="499"/>
      <c r="F407" s="499"/>
      <c r="G407" s="499"/>
      <c r="H407" s="499"/>
      <c r="I407" s="499"/>
      <c r="J407" s="499"/>
      <c r="K407" s="499"/>
      <c r="L407" s="499"/>
      <c r="M407" s="499"/>
      <c r="N407" s="499"/>
      <c r="O407" s="499"/>
      <c r="P407" s="499"/>
      <c r="Q407" s="499"/>
      <c r="U407" s="492"/>
      <c r="V407" s="492"/>
    </row>
    <row r="408" spans="1:22" s="497" customFormat="1" ht="12.75" customHeight="1" x14ac:dyDescent="0.25">
      <c r="A408" s="500"/>
      <c r="B408" s="501"/>
      <c r="C408" s="498"/>
      <c r="D408" s="502"/>
      <c r="E408" s="502"/>
      <c r="F408" s="502"/>
      <c r="G408" s="502"/>
      <c r="H408" s="502"/>
      <c r="I408" s="502"/>
      <c r="J408" s="502"/>
      <c r="K408" s="502"/>
      <c r="L408" s="502"/>
      <c r="M408" s="502"/>
      <c r="N408" s="502"/>
      <c r="O408" s="502"/>
      <c r="P408" s="499"/>
      <c r="Q408" s="499"/>
      <c r="U408" s="492"/>
      <c r="V408" s="492"/>
    </row>
    <row r="409" spans="1:22" s="497" customFormat="1" ht="12.75" customHeight="1" x14ac:dyDescent="0.25">
      <c r="B409" s="498"/>
      <c r="C409" s="498"/>
      <c r="D409" s="499"/>
      <c r="E409" s="499"/>
      <c r="F409" s="499"/>
      <c r="G409" s="499"/>
      <c r="H409" s="499"/>
      <c r="I409" s="499"/>
      <c r="J409" s="499"/>
      <c r="K409" s="499"/>
      <c r="L409" s="499"/>
      <c r="M409" s="499"/>
      <c r="N409" s="499"/>
      <c r="O409" s="499"/>
      <c r="P409" s="499"/>
      <c r="Q409" s="499"/>
      <c r="U409" s="492"/>
      <c r="V409" s="492"/>
    </row>
    <row r="410" spans="1:22" s="497" customFormat="1" ht="12.75" customHeight="1" x14ac:dyDescent="0.25">
      <c r="A410" s="500"/>
      <c r="B410" s="501"/>
      <c r="C410" s="498"/>
      <c r="D410" s="502"/>
      <c r="E410" s="502"/>
      <c r="F410" s="502"/>
      <c r="G410" s="502"/>
      <c r="H410" s="502"/>
      <c r="I410" s="502"/>
      <c r="J410" s="502"/>
      <c r="K410" s="502"/>
      <c r="L410" s="502"/>
      <c r="M410" s="502"/>
      <c r="N410" s="502"/>
      <c r="O410" s="502"/>
      <c r="P410" s="499"/>
      <c r="Q410" s="499"/>
      <c r="U410" s="492"/>
      <c r="V410" s="492"/>
    </row>
    <row r="411" spans="1:22" s="497" customFormat="1" ht="12.75" customHeight="1" x14ac:dyDescent="0.25">
      <c r="B411" s="498"/>
      <c r="C411" s="498"/>
      <c r="D411" s="499"/>
      <c r="E411" s="499"/>
      <c r="F411" s="499"/>
      <c r="G411" s="499"/>
      <c r="H411" s="499"/>
      <c r="I411" s="499"/>
      <c r="J411" s="499"/>
      <c r="K411" s="499"/>
      <c r="L411" s="499"/>
      <c r="M411" s="499"/>
      <c r="N411" s="499"/>
      <c r="O411" s="499"/>
      <c r="P411" s="499"/>
      <c r="Q411" s="499"/>
      <c r="U411" s="492"/>
      <c r="V411" s="492"/>
    </row>
    <row r="412" spans="1:22" s="497" customFormat="1" ht="12.75" customHeight="1" x14ac:dyDescent="0.25">
      <c r="B412" s="498"/>
      <c r="C412" s="498"/>
      <c r="D412" s="499"/>
      <c r="E412" s="499"/>
      <c r="F412" s="499"/>
      <c r="G412" s="499"/>
      <c r="H412" s="499"/>
      <c r="I412" s="499"/>
      <c r="J412" s="499"/>
      <c r="K412" s="499"/>
      <c r="L412" s="499"/>
      <c r="M412" s="499"/>
      <c r="N412" s="499"/>
      <c r="O412" s="499"/>
      <c r="P412" s="499"/>
      <c r="Q412" s="499"/>
      <c r="U412" s="492"/>
      <c r="V412" s="492"/>
    </row>
    <row r="413" spans="1:22" s="497" customFormat="1" ht="12.75" customHeight="1" x14ac:dyDescent="0.25">
      <c r="B413" s="498"/>
      <c r="C413" s="498"/>
      <c r="D413" s="499"/>
      <c r="E413" s="499"/>
      <c r="F413" s="499"/>
      <c r="G413" s="499"/>
      <c r="H413" s="499"/>
      <c r="I413" s="499"/>
      <c r="J413" s="499"/>
      <c r="K413" s="499"/>
      <c r="L413" s="499"/>
      <c r="M413" s="499"/>
      <c r="N413" s="499"/>
      <c r="O413" s="499"/>
      <c r="P413" s="499"/>
      <c r="Q413" s="499"/>
      <c r="U413" s="492"/>
      <c r="V413" s="492"/>
    </row>
    <row r="414" spans="1:22" s="497" customFormat="1" ht="12.75" customHeight="1" x14ac:dyDescent="0.25">
      <c r="B414" s="498"/>
      <c r="C414" s="498"/>
      <c r="D414" s="499"/>
      <c r="E414" s="499"/>
      <c r="F414" s="499"/>
      <c r="G414" s="499"/>
      <c r="H414" s="499"/>
      <c r="I414" s="499"/>
      <c r="J414" s="499"/>
      <c r="K414" s="499"/>
      <c r="L414" s="499"/>
      <c r="M414" s="499"/>
      <c r="N414" s="499"/>
      <c r="O414" s="499"/>
      <c r="P414" s="499"/>
      <c r="Q414" s="499"/>
      <c r="U414" s="492"/>
      <c r="V414" s="492"/>
    </row>
    <row r="415" spans="1:22" s="497" customFormat="1" ht="12.75" customHeight="1" x14ac:dyDescent="0.25">
      <c r="B415" s="498"/>
      <c r="C415" s="498"/>
      <c r="D415" s="499"/>
      <c r="E415" s="499"/>
      <c r="F415" s="499"/>
      <c r="G415" s="499"/>
      <c r="H415" s="499"/>
      <c r="I415" s="499"/>
      <c r="J415" s="499"/>
      <c r="K415" s="499"/>
      <c r="L415" s="499"/>
      <c r="M415" s="499"/>
      <c r="N415" s="499"/>
      <c r="O415" s="499"/>
      <c r="P415" s="499"/>
      <c r="Q415" s="499"/>
      <c r="U415" s="492"/>
      <c r="V415" s="492"/>
    </row>
    <row r="416" spans="1:22" s="497" customFormat="1" ht="12.75" customHeight="1" x14ac:dyDescent="0.25">
      <c r="B416" s="498"/>
      <c r="C416" s="498"/>
      <c r="D416" s="499"/>
      <c r="E416" s="499"/>
      <c r="F416" s="499"/>
      <c r="G416" s="499"/>
      <c r="H416" s="499"/>
      <c r="I416" s="499"/>
      <c r="J416" s="499"/>
      <c r="K416" s="499"/>
      <c r="L416" s="499"/>
      <c r="M416" s="499"/>
      <c r="N416" s="499"/>
      <c r="O416" s="499"/>
      <c r="P416" s="499"/>
      <c r="Q416" s="499"/>
      <c r="U416" s="492"/>
      <c r="V416" s="492"/>
    </row>
    <row r="417" spans="2:22" s="497" customFormat="1" ht="12.75" customHeight="1" x14ac:dyDescent="0.25">
      <c r="B417" s="498"/>
      <c r="C417" s="498"/>
      <c r="D417" s="499"/>
      <c r="E417" s="499"/>
      <c r="F417" s="499"/>
      <c r="G417" s="499"/>
      <c r="H417" s="499"/>
      <c r="I417" s="499"/>
      <c r="J417" s="499"/>
      <c r="K417" s="499"/>
      <c r="L417" s="499"/>
      <c r="M417" s="499"/>
      <c r="N417" s="499"/>
      <c r="O417" s="499"/>
      <c r="P417" s="499"/>
      <c r="Q417" s="499"/>
      <c r="U417" s="492"/>
      <c r="V417" s="492"/>
    </row>
    <row r="418" spans="2:22" s="497" customFormat="1" ht="12.75" customHeight="1" x14ac:dyDescent="0.25">
      <c r="B418" s="498"/>
      <c r="C418" s="498"/>
      <c r="D418" s="499"/>
      <c r="E418" s="499"/>
      <c r="F418" s="499"/>
      <c r="G418" s="499"/>
      <c r="H418" s="499"/>
      <c r="I418" s="499"/>
      <c r="J418" s="499"/>
      <c r="K418" s="499"/>
      <c r="L418" s="499"/>
      <c r="M418" s="499"/>
      <c r="N418" s="499"/>
      <c r="O418" s="499"/>
      <c r="P418" s="499"/>
      <c r="Q418" s="499"/>
      <c r="U418" s="492"/>
      <c r="V418" s="492"/>
    </row>
    <row r="419" spans="2:22" s="497" customFormat="1" ht="12.75" customHeight="1" x14ac:dyDescent="0.25">
      <c r="B419" s="498"/>
      <c r="C419" s="498"/>
      <c r="D419" s="499"/>
      <c r="E419" s="499"/>
      <c r="F419" s="499"/>
      <c r="G419" s="499"/>
      <c r="H419" s="499"/>
      <c r="I419" s="499"/>
      <c r="J419" s="499"/>
      <c r="K419" s="499"/>
      <c r="L419" s="499"/>
      <c r="M419" s="499"/>
      <c r="N419" s="499"/>
      <c r="O419" s="499"/>
      <c r="P419" s="499"/>
      <c r="Q419" s="499"/>
      <c r="U419" s="492"/>
      <c r="V419" s="492"/>
    </row>
    <row r="420" spans="2:22" s="497" customFormat="1" ht="12.75" customHeight="1" x14ac:dyDescent="0.25">
      <c r="B420" s="498"/>
      <c r="C420" s="498"/>
      <c r="D420" s="499"/>
      <c r="E420" s="499"/>
      <c r="F420" s="499"/>
      <c r="G420" s="499"/>
      <c r="H420" s="499"/>
      <c r="I420" s="499"/>
      <c r="J420" s="499"/>
      <c r="K420" s="499"/>
      <c r="L420" s="499"/>
      <c r="M420" s="499"/>
      <c r="N420" s="499"/>
      <c r="O420" s="499"/>
      <c r="P420" s="499"/>
      <c r="Q420" s="499"/>
      <c r="U420" s="492"/>
      <c r="V420" s="492"/>
    </row>
    <row r="421" spans="2:22" s="497" customFormat="1" ht="12.75" customHeight="1" x14ac:dyDescent="0.25">
      <c r="B421" s="498"/>
      <c r="C421" s="498"/>
      <c r="D421" s="499"/>
      <c r="E421" s="499"/>
      <c r="F421" s="499"/>
      <c r="G421" s="499"/>
      <c r="H421" s="499"/>
      <c r="I421" s="499"/>
      <c r="J421" s="499"/>
      <c r="K421" s="499"/>
      <c r="L421" s="499"/>
      <c r="M421" s="499"/>
      <c r="N421" s="499"/>
      <c r="O421" s="499"/>
      <c r="P421" s="499"/>
      <c r="Q421" s="499"/>
      <c r="U421" s="492"/>
      <c r="V421" s="492"/>
    </row>
    <row r="422" spans="2:22" s="497" customFormat="1" ht="12.75" customHeight="1" x14ac:dyDescent="0.25">
      <c r="B422" s="498"/>
      <c r="C422" s="498"/>
      <c r="D422" s="499"/>
      <c r="E422" s="499"/>
      <c r="F422" s="499"/>
      <c r="G422" s="499"/>
      <c r="H422" s="499"/>
      <c r="I422" s="499"/>
      <c r="J422" s="499"/>
      <c r="K422" s="499"/>
      <c r="L422" s="499"/>
      <c r="M422" s="499"/>
      <c r="N422" s="499"/>
      <c r="O422" s="499"/>
      <c r="P422" s="499"/>
      <c r="Q422" s="499"/>
      <c r="U422" s="492"/>
      <c r="V422" s="492"/>
    </row>
    <row r="423" spans="2:22" s="497" customFormat="1" ht="12.75" customHeight="1" x14ac:dyDescent="0.25">
      <c r="B423" s="498"/>
      <c r="C423" s="498"/>
      <c r="D423" s="499"/>
      <c r="E423" s="499"/>
      <c r="F423" s="499"/>
      <c r="G423" s="499"/>
      <c r="H423" s="499"/>
      <c r="I423" s="499"/>
      <c r="J423" s="499"/>
      <c r="K423" s="499"/>
      <c r="L423" s="499"/>
      <c r="M423" s="499"/>
      <c r="N423" s="499"/>
      <c r="O423" s="499"/>
      <c r="P423" s="499"/>
      <c r="Q423" s="499"/>
      <c r="U423" s="492"/>
      <c r="V423" s="492"/>
    </row>
    <row r="424" spans="2:22" s="497" customFormat="1" ht="12.75" customHeight="1" x14ac:dyDescent="0.25">
      <c r="B424" s="498"/>
      <c r="C424" s="498"/>
      <c r="D424" s="499"/>
      <c r="E424" s="499"/>
      <c r="F424" s="499"/>
      <c r="G424" s="499"/>
      <c r="H424" s="499"/>
      <c r="I424" s="499"/>
      <c r="J424" s="499"/>
      <c r="K424" s="499"/>
      <c r="L424" s="499"/>
      <c r="M424" s="499"/>
      <c r="N424" s="499"/>
      <c r="O424" s="499"/>
      <c r="P424" s="499"/>
      <c r="Q424" s="499"/>
      <c r="U424" s="492"/>
      <c r="V424" s="492"/>
    </row>
    <row r="425" spans="2:22" s="497" customFormat="1" ht="12.75" customHeight="1" x14ac:dyDescent="0.25">
      <c r="B425" s="498"/>
      <c r="C425" s="498"/>
      <c r="D425" s="499"/>
      <c r="E425" s="499"/>
      <c r="F425" s="499"/>
      <c r="G425" s="499"/>
      <c r="H425" s="499"/>
      <c r="I425" s="499"/>
      <c r="J425" s="499"/>
      <c r="K425" s="499"/>
      <c r="L425" s="499"/>
      <c r="M425" s="499"/>
      <c r="N425" s="499"/>
      <c r="O425" s="499"/>
      <c r="P425" s="499"/>
      <c r="Q425" s="499"/>
      <c r="U425" s="492"/>
      <c r="V425" s="492"/>
    </row>
    <row r="426" spans="2:22" s="497" customFormat="1" ht="12.75" customHeight="1" x14ac:dyDescent="0.25">
      <c r="B426" s="498"/>
      <c r="C426" s="498"/>
      <c r="D426" s="499"/>
      <c r="E426" s="499"/>
      <c r="F426" s="499"/>
      <c r="G426" s="499"/>
      <c r="H426" s="499"/>
      <c r="I426" s="499"/>
      <c r="J426" s="499"/>
      <c r="K426" s="499"/>
      <c r="L426" s="499"/>
      <c r="M426" s="499"/>
      <c r="N426" s="499"/>
      <c r="O426" s="499"/>
      <c r="P426" s="499"/>
      <c r="Q426" s="499"/>
      <c r="U426" s="492"/>
      <c r="V426" s="492"/>
    </row>
    <row r="427" spans="2:22" s="497" customFormat="1" ht="12.75" customHeight="1" x14ac:dyDescent="0.25">
      <c r="B427" s="498"/>
      <c r="C427" s="498"/>
      <c r="D427" s="499"/>
      <c r="E427" s="499"/>
      <c r="F427" s="499"/>
      <c r="G427" s="499"/>
      <c r="H427" s="499"/>
      <c r="I427" s="499"/>
      <c r="J427" s="499"/>
      <c r="K427" s="499"/>
      <c r="L427" s="499"/>
      <c r="M427" s="499"/>
      <c r="N427" s="499"/>
      <c r="O427" s="499"/>
      <c r="P427" s="499"/>
      <c r="Q427" s="499"/>
      <c r="U427" s="492"/>
      <c r="V427" s="492"/>
    </row>
    <row r="428" spans="2:22" s="497" customFormat="1" ht="12.75" customHeight="1" x14ac:dyDescent="0.25">
      <c r="B428" s="498"/>
      <c r="C428" s="498"/>
      <c r="D428" s="499"/>
      <c r="E428" s="499"/>
      <c r="F428" s="499"/>
      <c r="G428" s="499"/>
      <c r="H428" s="499"/>
      <c r="I428" s="499"/>
      <c r="J428" s="499"/>
      <c r="K428" s="499"/>
      <c r="L428" s="499"/>
      <c r="M428" s="499"/>
      <c r="N428" s="499"/>
      <c r="O428" s="499"/>
      <c r="P428" s="499"/>
      <c r="Q428" s="499"/>
      <c r="U428" s="492"/>
      <c r="V428" s="492"/>
    </row>
    <row r="429" spans="2:22" s="497" customFormat="1" ht="12.75" customHeight="1" x14ac:dyDescent="0.25">
      <c r="B429" s="498"/>
      <c r="C429" s="498"/>
      <c r="D429" s="499"/>
      <c r="E429" s="499"/>
      <c r="F429" s="499"/>
      <c r="G429" s="499"/>
      <c r="H429" s="499"/>
      <c r="I429" s="499"/>
      <c r="J429" s="499"/>
      <c r="K429" s="499"/>
      <c r="L429" s="499"/>
      <c r="M429" s="499"/>
      <c r="N429" s="499"/>
      <c r="O429" s="499"/>
      <c r="P429" s="499"/>
      <c r="Q429" s="499"/>
      <c r="U429" s="492"/>
      <c r="V429" s="492"/>
    </row>
    <row r="430" spans="2:22" s="497" customFormat="1" ht="12.75" customHeight="1" x14ac:dyDescent="0.25">
      <c r="B430" s="498"/>
      <c r="C430" s="498"/>
      <c r="D430" s="499"/>
      <c r="E430" s="499"/>
      <c r="F430" s="499"/>
      <c r="G430" s="499"/>
      <c r="H430" s="499"/>
      <c r="I430" s="499"/>
      <c r="J430" s="499"/>
      <c r="K430" s="499"/>
      <c r="L430" s="499"/>
      <c r="M430" s="499"/>
      <c r="N430" s="499"/>
      <c r="O430" s="499"/>
      <c r="P430" s="499"/>
      <c r="Q430" s="499"/>
      <c r="U430" s="492"/>
      <c r="V430" s="492"/>
    </row>
    <row r="431" spans="2:22" s="510" customFormat="1" ht="12.75" customHeight="1" x14ac:dyDescent="0.25">
      <c r="B431" s="519"/>
      <c r="C431" s="519"/>
      <c r="D431" s="511"/>
      <c r="E431" s="511"/>
      <c r="F431" s="511"/>
      <c r="G431" s="511"/>
      <c r="H431" s="511"/>
      <c r="I431" s="511"/>
      <c r="J431" s="511"/>
      <c r="K431" s="511"/>
      <c r="L431" s="511"/>
      <c r="M431" s="511"/>
      <c r="N431" s="511"/>
      <c r="O431" s="511"/>
      <c r="P431" s="511"/>
      <c r="Q431" s="511"/>
      <c r="U431" s="485"/>
      <c r="V431" s="485"/>
    </row>
    <row r="432" spans="2:22" s="510" customFormat="1" ht="12.75" customHeight="1" x14ac:dyDescent="0.25">
      <c r="B432" s="519"/>
      <c r="C432" s="519"/>
      <c r="D432" s="511"/>
      <c r="E432" s="511"/>
      <c r="F432" s="511"/>
      <c r="G432" s="511"/>
      <c r="H432" s="511"/>
      <c r="I432" s="511"/>
      <c r="J432" s="511"/>
      <c r="K432" s="511"/>
      <c r="L432" s="511"/>
      <c r="M432" s="511"/>
      <c r="N432" s="511"/>
      <c r="O432" s="511"/>
      <c r="P432" s="511"/>
      <c r="Q432" s="511"/>
      <c r="U432" s="485"/>
      <c r="V432" s="485"/>
    </row>
    <row r="433" spans="2:22" s="510" customFormat="1" ht="12.75" customHeight="1" x14ac:dyDescent="0.25">
      <c r="B433" s="519"/>
      <c r="C433" s="519"/>
      <c r="D433" s="511"/>
      <c r="E433" s="511"/>
      <c r="F433" s="511"/>
      <c r="G433" s="511"/>
      <c r="H433" s="511"/>
      <c r="I433" s="511"/>
      <c r="J433" s="511"/>
      <c r="K433" s="511"/>
      <c r="L433" s="511"/>
      <c r="M433" s="511"/>
      <c r="N433" s="511"/>
      <c r="O433" s="511"/>
      <c r="P433" s="511"/>
      <c r="Q433" s="511"/>
      <c r="U433" s="485"/>
      <c r="V433" s="485"/>
    </row>
    <row r="434" spans="2:22" s="510" customFormat="1" ht="12.75" customHeight="1" x14ac:dyDescent="0.25">
      <c r="B434" s="519"/>
      <c r="C434" s="519"/>
      <c r="D434" s="511"/>
      <c r="E434" s="511"/>
      <c r="F434" s="511"/>
      <c r="G434" s="511"/>
      <c r="H434" s="511"/>
      <c r="I434" s="511"/>
      <c r="J434" s="511"/>
      <c r="K434" s="511"/>
      <c r="L434" s="511"/>
      <c r="M434" s="511"/>
      <c r="N434" s="511"/>
      <c r="O434" s="511"/>
      <c r="P434" s="511"/>
      <c r="Q434" s="511"/>
      <c r="U434" s="485"/>
      <c r="V434" s="485"/>
    </row>
    <row r="435" spans="2:22" s="510" customFormat="1" ht="12.75" customHeight="1" x14ac:dyDescent="0.25">
      <c r="B435" s="519"/>
      <c r="C435" s="519"/>
      <c r="D435" s="511"/>
      <c r="E435" s="511"/>
      <c r="F435" s="511"/>
      <c r="G435" s="511"/>
      <c r="H435" s="511"/>
      <c r="I435" s="511"/>
      <c r="J435" s="511"/>
      <c r="K435" s="511"/>
      <c r="L435" s="511"/>
      <c r="M435" s="511"/>
      <c r="N435" s="511"/>
      <c r="O435" s="511"/>
      <c r="P435" s="511"/>
      <c r="Q435" s="511"/>
      <c r="U435" s="485"/>
      <c r="V435" s="485"/>
    </row>
    <row r="436" spans="2:22" s="510" customFormat="1" ht="12.75" customHeight="1" x14ac:dyDescent="0.25">
      <c r="B436" s="519"/>
      <c r="C436" s="519"/>
      <c r="D436" s="511"/>
      <c r="E436" s="511"/>
      <c r="F436" s="511"/>
      <c r="G436" s="511"/>
      <c r="H436" s="511"/>
      <c r="I436" s="511"/>
      <c r="J436" s="511"/>
      <c r="K436" s="511"/>
      <c r="L436" s="511"/>
      <c r="M436" s="511"/>
      <c r="N436" s="511"/>
      <c r="O436" s="511"/>
      <c r="P436" s="511"/>
      <c r="Q436" s="511"/>
      <c r="U436" s="485"/>
      <c r="V436" s="485"/>
    </row>
    <row r="437" spans="2:22" s="510" customFormat="1" ht="12.75" customHeight="1" x14ac:dyDescent="0.25">
      <c r="B437" s="519"/>
      <c r="C437" s="519"/>
      <c r="D437" s="511"/>
      <c r="E437" s="511"/>
      <c r="F437" s="511"/>
      <c r="G437" s="511"/>
      <c r="H437" s="511"/>
      <c r="I437" s="511"/>
      <c r="J437" s="511"/>
      <c r="K437" s="511"/>
      <c r="L437" s="511"/>
      <c r="M437" s="511"/>
      <c r="N437" s="511"/>
      <c r="O437" s="511"/>
      <c r="P437" s="511"/>
      <c r="Q437" s="511"/>
      <c r="U437" s="485"/>
      <c r="V437" s="485"/>
    </row>
    <row r="438" spans="2:22" s="510" customFormat="1" ht="12.75" customHeight="1" x14ac:dyDescent="0.25">
      <c r="B438" s="519"/>
      <c r="C438" s="519"/>
      <c r="D438" s="511"/>
      <c r="E438" s="511"/>
      <c r="F438" s="511"/>
      <c r="G438" s="511"/>
      <c r="H438" s="511"/>
      <c r="I438" s="511"/>
      <c r="J438" s="511"/>
      <c r="K438" s="511"/>
      <c r="L438" s="511"/>
      <c r="M438" s="511"/>
      <c r="N438" s="511"/>
      <c r="O438" s="511"/>
      <c r="P438" s="511"/>
      <c r="Q438" s="511"/>
      <c r="U438" s="485"/>
      <c r="V438" s="485"/>
    </row>
    <row r="439" spans="2:22" s="510" customFormat="1" ht="12.75" customHeight="1" x14ac:dyDescent="0.25">
      <c r="B439" s="519"/>
      <c r="C439" s="519"/>
      <c r="D439" s="511"/>
      <c r="E439" s="511"/>
      <c r="F439" s="511"/>
      <c r="G439" s="511"/>
      <c r="H439" s="511"/>
      <c r="I439" s="511"/>
      <c r="J439" s="511"/>
      <c r="K439" s="511"/>
      <c r="L439" s="511"/>
      <c r="M439" s="511"/>
      <c r="N439" s="511"/>
      <c r="O439" s="511"/>
      <c r="P439" s="511"/>
      <c r="Q439" s="511"/>
      <c r="U439" s="485"/>
      <c r="V439" s="485"/>
    </row>
    <row r="440" spans="2:22" s="510" customFormat="1" ht="12.75" customHeight="1" x14ac:dyDescent="0.25">
      <c r="B440" s="519"/>
      <c r="C440" s="519"/>
      <c r="D440" s="511"/>
      <c r="E440" s="511"/>
      <c r="F440" s="511"/>
      <c r="G440" s="511"/>
      <c r="H440" s="511"/>
      <c r="I440" s="511"/>
      <c r="J440" s="511"/>
      <c r="K440" s="511"/>
      <c r="L440" s="511"/>
      <c r="M440" s="511"/>
      <c r="N440" s="511"/>
      <c r="O440" s="511"/>
      <c r="P440" s="511"/>
      <c r="Q440" s="511"/>
      <c r="U440" s="485"/>
      <c r="V440" s="485"/>
    </row>
    <row r="441" spans="2:22" s="510" customFormat="1" ht="12.75" customHeight="1" x14ac:dyDescent="0.25">
      <c r="B441" s="519"/>
      <c r="C441" s="519"/>
      <c r="D441" s="511"/>
      <c r="E441" s="511"/>
      <c r="F441" s="511"/>
      <c r="G441" s="511"/>
      <c r="H441" s="511"/>
      <c r="I441" s="511"/>
      <c r="J441" s="511"/>
      <c r="K441" s="511"/>
      <c r="L441" s="511"/>
      <c r="M441" s="511"/>
      <c r="N441" s="511"/>
      <c r="O441" s="511"/>
      <c r="P441" s="511"/>
      <c r="Q441" s="511"/>
      <c r="U441" s="485"/>
      <c r="V441" s="485"/>
    </row>
    <row r="442" spans="2:22" s="510" customFormat="1" ht="12.75" customHeight="1" x14ac:dyDescent="0.25">
      <c r="B442" s="519"/>
      <c r="C442" s="519"/>
      <c r="D442" s="511"/>
      <c r="E442" s="511"/>
      <c r="F442" s="511"/>
      <c r="G442" s="511"/>
      <c r="H442" s="511"/>
      <c r="I442" s="511"/>
      <c r="J442" s="511"/>
      <c r="K442" s="511"/>
      <c r="L442" s="511"/>
      <c r="M442" s="511"/>
      <c r="N442" s="511"/>
      <c r="O442" s="511"/>
      <c r="P442" s="511"/>
      <c r="Q442" s="511"/>
      <c r="U442" s="485"/>
      <c r="V442" s="485"/>
    </row>
    <row r="443" spans="2:22" s="510" customFormat="1" ht="12.75" customHeight="1" x14ac:dyDescent="0.25">
      <c r="B443" s="519"/>
      <c r="C443" s="519"/>
      <c r="U443" s="485"/>
      <c r="V443" s="485"/>
    </row>
    <row r="444" spans="2:22" s="510" customFormat="1" ht="12.75" customHeight="1" x14ac:dyDescent="0.25">
      <c r="B444" s="519"/>
      <c r="C444" s="519"/>
      <c r="U444" s="485"/>
      <c r="V444" s="485"/>
    </row>
    <row r="445" spans="2:22" s="510" customFormat="1" ht="12.75" customHeight="1" x14ac:dyDescent="0.25">
      <c r="B445" s="519"/>
      <c r="C445" s="519"/>
      <c r="U445" s="485"/>
      <c r="V445" s="485"/>
    </row>
    <row r="446" spans="2:22" s="510" customFormat="1" ht="12.75" customHeight="1" x14ac:dyDescent="0.25">
      <c r="B446" s="519"/>
      <c r="C446" s="519"/>
      <c r="U446" s="485"/>
      <c r="V446" s="485"/>
    </row>
    <row r="447" spans="2:22" s="510" customFormat="1" ht="12.75" customHeight="1" x14ac:dyDescent="0.25">
      <c r="B447" s="519"/>
      <c r="C447" s="519"/>
      <c r="U447" s="485"/>
      <c r="V447" s="485"/>
    </row>
    <row r="448" spans="2:22" s="510" customFormat="1" ht="12.75" customHeight="1" x14ac:dyDescent="0.25">
      <c r="B448" s="519"/>
      <c r="C448" s="519"/>
      <c r="U448" s="485"/>
      <c r="V448" s="485"/>
    </row>
    <row r="449" spans="2:22" s="510" customFormat="1" ht="12.75" customHeight="1" x14ac:dyDescent="0.25">
      <c r="B449" s="519"/>
      <c r="C449" s="519"/>
      <c r="U449" s="485"/>
      <c r="V449" s="485"/>
    </row>
    <row r="450" spans="2:22" s="510" customFormat="1" ht="12.75" customHeight="1" x14ac:dyDescent="0.25">
      <c r="B450" s="519"/>
      <c r="C450" s="519"/>
      <c r="U450" s="485"/>
      <c r="V450" s="485"/>
    </row>
    <row r="451" spans="2:22" s="510" customFormat="1" ht="12.75" customHeight="1" x14ac:dyDescent="0.25">
      <c r="B451" s="519"/>
      <c r="C451" s="519"/>
      <c r="U451" s="485"/>
      <c r="V451" s="485"/>
    </row>
    <row r="452" spans="2:22" s="510" customFormat="1" ht="12.75" customHeight="1" x14ac:dyDescent="0.25">
      <c r="B452" s="519"/>
      <c r="C452" s="519"/>
      <c r="U452" s="485"/>
      <c r="V452" s="485"/>
    </row>
    <row r="453" spans="2:22" s="510" customFormat="1" ht="12.75" customHeight="1" x14ac:dyDescent="0.25">
      <c r="B453" s="519"/>
      <c r="C453" s="519"/>
      <c r="U453" s="485"/>
      <c r="V453" s="485"/>
    </row>
    <row r="454" spans="2:22" s="510" customFormat="1" ht="12.75" customHeight="1" x14ac:dyDescent="0.25">
      <c r="B454" s="519"/>
      <c r="C454" s="519"/>
      <c r="U454" s="485"/>
      <c r="V454" s="485"/>
    </row>
    <row r="455" spans="2:22" s="510" customFormat="1" ht="12.75" customHeight="1" x14ac:dyDescent="0.25">
      <c r="B455" s="519"/>
      <c r="C455" s="519"/>
      <c r="U455" s="485"/>
      <c r="V455" s="485"/>
    </row>
    <row r="456" spans="2:22" s="510" customFormat="1" ht="12.75" customHeight="1" x14ac:dyDescent="0.25">
      <c r="B456" s="519"/>
      <c r="C456" s="519"/>
      <c r="U456" s="485"/>
      <c r="V456" s="485"/>
    </row>
    <row r="457" spans="2:22" s="510" customFormat="1" ht="12.75" customHeight="1" x14ac:dyDescent="0.25">
      <c r="B457" s="519"/>
      <c r="C457" s="519"/>
      <c r="U457" s="485"/>
      <c r="V457" s="485"/>
    </row>
    <row r="458" spans="2:22" s="510" customFormat="1" ht="12.75" customHeight="1" x14ac:dyDescent="0.25">
      <c r="B458" s="519"/>
      <c r="C458" s="519"/>
      <c r="U458" s="485"/>
      <c r="V458" s="485"/>
    </row>
    <row r="459" spans="2:22" s="510" customFormat="1" ht="12.75" customHeight="1" x14ac:dyDescent="0.25">
      <c r="B459" s="519"/>
      <c r="C459" s="519"/>
      <c r="U459" s="485"/>
      <c r="V459" s="485"/>
    </row>
    <row r="460" spans="2:22" s="510" customFormat="1" ht="12.75" customHeight="1" x14ac:dyDescent="0.25">
      <c r="B460" s="519"/>
      <c r="C460" s="519"/>
      <c r="U460" s="485"/>
      <c r="V460" s="485"/>
    </row>
    <row r="461" spans="2:22" s="510" customFormat="1" ht="12.75" customHeight="1" x14ac:dyDescent="0.25">
      <c r="B461" s="519"/>
      <c r="C461" s="519"/>
      <c r="U461" s="485"/>
      <c r="V461" s="485"/>
    </row>
    <row r="462" spans="2:22" s="510" customFormat="1" ht="12.75" customHeight="1" x14ac:dyDescent="0.25">
      <c r="B462" s="519"/>
      <c r="C462" s="519"/>
      <c r="U462" s="485"/>
      <c r="V462" s="485"/>
    </row>
    <row r="463" spans="2:22" s="510" customFormat="1" ht="12.75" customHeight="1" x14ac:dyDescent="0.25">
      <c r="B463" s="519"/>
      <c r="C463" s="519"/>
      <c r="U463" s="485"/>
      <c r="V463" s="485"/>
    </row>
    <row r="464" spans="2:22" s="510" customFormat="1" ht="12.75" customHeight="1" x14ac:dyDescent="0.25">
      <c r="B464" s="519"/>
      <c r="C464" s="519"/>
      <c r="U464" s="485"/>
      <c r="V464" s="485"/>
    </row>
    <row r="465" spans="2:22" s="510" customFormat="1" ht="12.75" customHeight="1" x14ac:dyDescent="0.25">
      <c r="B465" s="519"/>
      <c r="C465" s="519"/>
      <c r="U465" s="485"/>
      <c r="V465" s="485"/>
    </row>
    <row r="466" spans="2:22" s="510" customFormat="1" ht="12.75" customHeight="1" x14ac:dyDescent="0.25">
      <c r="B466" s="519"/>
      <c r="C466" s="519"/>
      <c r="U466" s="485"/>
      <c r="V466" s="485"/>
    </row>
    <row r="467" spans="2:22" s="510" customFormat="1" ht="12.75" customHeight="1" x14ac:dyDescent="0.25">
      <c r="B467" s="519"/>
      <c r="C467" s="519"/>
      <c r="U467" s="485"/>
      <c r="V467" s="485"/>
    </row>
    <row r="468" spans="2:22" s="510" customFormat="1" ht="12.75" customHeight="1" x14ac:dyDescent="0.25">
      <c r="B468" s="519"/>
      <c r="C468" s="519"/>
      <c r="U468" s="485"/>
      <c r="V468" s="485"/>
    </row>
    <row r="469" spans="2:22" s="510" customFormat="1" ht="12.75" customHeight="1" x14ac:dyDescent="0.25">
      <c r="B469" s="519"/>
      <c r="C469" s="519"/>
      <c r="U469" s="485"/>
      <c r="V469" s="485"/>
    </row>
    <row r="470" spans="2:22" s="510" customFormat="1" ht="12.75" customHeight="1" x14ac:dyDescent="0.25">
      <c r="B470" s="519"/>
      <c r="C470" s="519"/>
      <c r="U470" s="485"/>
      <c r="V470" s="485"/>
    </row>
    <row r="471" spans="2:22" s="510" customFormat="1" ht="12.75" customHeight="1" x14ac:dyDescent="0.25">
      <c r="B471" s="519"/>
      <c r="C471" s="519"/>
      <c r="U471" s="485"/>
      <c r="V471" s="485"/>
    </row>
    <row r="472" spans="2:22" s="510" customFormat="1" ht="12.75" customHeight="1" x14ac:dyDescent="0.25">
      <c r="B472" s="519"/>
      <c r="C472" s="519"/>
      <c r="U472" s="485"/>
      <c r="V472" s="485"/>
    </row>
    <row r="473" spans="2:22" s="510" customFormat="1" ht="12.75" customHeight="1" x14ac:dyDescent="0.25">
      <c r="B473" s="519"/>
      <c r="C473" s="519"/>
      <c r="U473" s="485"/>
      <c r="V473" s="485"/>
    </row>
    <row r="474" spans="2:22" s="510" customFormat="1" ht="12.75" customHeight="1" x14ac:dyDescent="0.25">
      <c r="B474" s="519"/>
      <c r="C474" s="519"/>
      <c r="U474" s="485"/>
      <c r="V474" s="485"/>
    </row>
    <row r="475" spans="2:22" s="510" customFormat="1" ht="12.75" customHeight="1" x14ac:dyDescent="0.25">
      <c r="B475" s="519"/>
      <c r="C475" s="519"/>
      <c r="U475" s="485"/>
      <c r="V475" s="485"/>
    </row>
    <row r="476" spans="2:22" s="510" customFormat="1" ht="12.75" customHeight="1" x14ac:dyDescent="0.25">
      <c r="B476" s="519"/>
      <c r="C476" s="519"/>
      <c r="U476" s="485"/>
      <c r="V476" s="485"/>
    </row>
    <row r="477" spans="2:22" s="510" customFormat="1" ht="12.75" customHeight="1" x14ac:dyDescent="0.25">
      <c r="B477" s="519"/>
      <c r="C477" s="519"/>
      <c r="U477" s="485"/>
      <c r="V477" s="485"/>
    </row>
    <row r="478" spans="2:22" s="510" customFormat="1" ht="12.75" customHeight="1" x14ac:dyDescent="0.25">
      <c r="B478" s="519"/>
      <c r="C478" s="519"/>
      <c r="U478" s="485"/>
      <c r="V478" s="485"/>
    </row>
    <row r="479" spans="2:22" s="510" customFormat="1" ht="12.75" customHeight="1" x14ac:dyDescent="0.25">
      <c r="B479" s="519"/>
      <c r="C479" s="519"/>
      <c r="U479" s="485"/>
      <c r="V479" s="485"/>
    </row>
    <row r="480" spans="2:22" s="510" customFormat="1" ht="12.75" customHeight="1" x14ac:dyDescent="0.25">
      <c r="B480" s="519"/>
      <c r="C480" s="519"/>
      <c r="U480" s="485"/>
      <c r="V480" s="485"/>
    </row>
    <row r="481" spans="2:22" s="510" customFormat="1" ht="12.75" customHeight="1" x14ac:dyDescent="0.25">
      <c r="B481" s="519"/>
      <c r="C481" s="519"/>
      <c r="U481" s="485"/>
      <c r="V481" s="485"/>
    </row>
    <row r="482" spans="2:22" s="510" customFormat="1" ht="12.75" customHeight="1" x14ac:dyDescent="0.25">
      <c r="B482" s="519"/>
      <c r="C482" s="519"/>
      <c r="U482" s="485"/>
      <c r="V482" s="485"/>
    </row>
    <row r="483" spans="2:22" s="510" customFormat="1" ht="12.75" customHeight="1" x14ac:dyDescent="0.25">
      <c r="B483" s="519"/>
      <c r="C483" s="519"/>
      <c r="U483" s="485"/>
      <c r="V483" s="485"/>
    </row>
    <row r="484" spans="2:22" s="510" customFormat="1" ht="12.75" customHeight="1" x14ac:dyDescent="0.25">
      <c r="B484" s="519"/>
      <c r="C484" s="519"/>
      <c r="U484" s="485"/>
      <c r="V484" s="485"/>
    </row>
    <row r="485" spans="2:22" s="510" customFormat="1" ht="12.75" customHeight="1" x14ac:dyDescent="0.25">
      <c r="B485" s="519"/>
      <c r="C485" s="519"/>
      <c r="U485" s="485"/>
      <c r="V485" s="485"/>
    </row>
    <row r="486" spans="2:22" s="510" customFormat="1" ht="12.75" customHeight="1" x14ac:dyDescent="0.25">
      <c r="B486" s="519"/>
      <c r="C486" s="519"/>
      <c r="U486" s="485"/>
      <c r="V486" s="485"/>
    </row>
    <row r="487" spans="2:22" s="510" customFormat="1" ht="12.75" customHeight="1" x14ac:dyDescent="0.25">
      <c r="B487" s="519"/>
      <c r="C487" s="519"/>
      <c r="U487" s="485"/>
      <c r="V487" s="485"/>
    </row>
    <row r="488" spans="2:22" s="510" customFormat="1" ht="12.75" customHeight="1" x14ac:dyDescent="0.25">
      <c r="B488" s="519"/>
      <c r="C488" s="519"/>
      <c r="U488" s="485"/>
      <c r="V488" s="485"/>
    </row>
    <row r="489" spans="2:22" s="510" customFormat="1" ht="12.75" customHeight="1" x14ac:dyDescent="0.25">
      <c r="B489" s="519"/>
      <c r="C489" s="519"/>
      <c r="U489" s="485"/>
      <c r="V489" s="485"/>
    </row>
    <row r="490" spans="2:22" s="510" customFormat="1" ht="12.75" customHeight="1" x14ac:dyDescent="0.25">
      <c r="B490" s="519"/>
      <c r="C490" s="519"/>
      <c r="U490" s="485"/>
      <c r="V490" s="485"/>
    </row>
    <row r="491" spans="2:22" s="510" customFormat="1" ht="12.75" customHeight="1" x14ac:dyDescent="0.25">
      <c r="B491" s="519"/>
      <c r="C491" s="519"/>
      <c r="U491" s="485"/>
      <c r="V491" s="485"/>
    </row>
    <row r="492" spans="2:22" s="510" customFormat="1" ht="12.75" customHeight="1" x14ac:dyDescent="0.25">
      <c r="B492" s="519"/>
      <c r="C492" s="519"/>
      <c r="U492" s="485"/>
      <c r="V492" s="485"/>
    </row>
    <row r="493" spans="2:22" s="510" customFormat="1" ht="12.75" customHeight="1" x14ac:dyDescent="0.25">
      <c r="B493" s="519"/>
      <c r="C493" s="519"/>
      <c r="U493" s="485"/>
      <c r="V493" s="485"/>
    </row>
    <row r="494" spans="2:22" s="510" customFormat="1" ht="12.75" customHeight="1" x14ac:dyDescent="0.25">
      <c r="B494" s="519"/>
      <c r="C494" s="519"/>
      <c r="U494" s="485"/>
      <c r="V494" s="485"/>
    </row>
    <row r="495" spans="2:22" s="510" customFormat="1" ht="12.75" customHeight="1" x14ac:dyDescent="0.25">
      <c r="B495" s="519"/>
      <c r="C495" s="519"/>
      <c r="U495" s="485"/>
      <c r="V495" s="485"/>
    </row>
    <row r="496" spans="2:22" s="510" customFormat="1" ht="12.75" customHeight="1" x14ac:dyDescent="0.25">
      <c r="B496" s="519"/>
      <c r="C496" s="519"/>
      <c r="U496" s="485"/>
      <c r="V496" s="485"/>
    </row>
    <row r="497" spans="2:22" s="510" customFormat="1" ht="12.75" customHeight="1" x14ac:dyDescent="0.25">
      <c r="B497" s="519"/>
      <c r="C497" s="519"/>
      <c r="U497" s="485"/>
      <c r="V497" s="485"/>
    </row>
    <row r="498" spans="2:22" s="510" customFormat="1" ht="12.75" customHeight="1" x14ac:dyDescent="0.25">
      <c r="B498" s="519"/>
      <c r="C498" s="519"/>
      <c r="U498" s="485"/>
      <c r="V498" s="485"/>
    </row>
    <row r="499" spans="2:22" s="510" customFormat="1" ht="12.75" customHeight="1" x14ac:dyDescent="0.25">
      <c r="B499" s="519"/>
      <c r="C499" s="519"/>
      <c r="U499" s="485"/>
      <c r="V499" s="485"/>
    </row>
    <row r="500" spans="2:22" s="510" customFormat="1" ht="12.75" customHeight="1" x14ac:dyDescent="0.25">
      <c r="B500" s="519"/>
      <c r="C500" s="519"/>
      <c r="U500" s="485"/>
      <c r="V500" s="485"/>
    </row>
    <row r="501" spans="2:22" s="510" customFormat="1" ht="12.75" customHeight="1" x14ac:dyDescent="0.25">
      <c r="B501" s="519"/>
      <c r="C501" s="519"/>
      <c r="U501" s="485"/>
      <c r="V501" s="485"/>
    </row>
    <row r="502" spans="2:22" s="510" customFormat="1" ht="12.75" customHeight="1" x14ac:dyDescent="0.25">
      <c r="B502" s="519"/>
      <c r="C502" s="519"/>
      <c r="U502" s="485"/>
      <c r="V502" s="485"/>
    </row>
    <row r="503" spans="2:22" s="510" customFormat="1" ht="12.75" customHeight="1" x14ac:dyDescent="0.25">
      <c r="B503" s="519"/>
      <c r="C503" s="519"/>
      <c r="U503" s="485"/>
      <c r="V503" s="485"/>
    </row>
    <row r="504" spans="2:22" s="510" customFormat="1" ht="12.75" customHeight="1" x14ac:dyDescent="0.25">
      <c r="B504" s="519"/>
      <c r="C504" s="519"/>
      <c r="U504" s="485"/>
      <c r="V504" s="485"/>
    </row>
    <row r="505" spans="2:22" s="510" customFormat="1" ht="12.75" customHeight="1" x14ac:dyDescent="0.25">
      <c r="B505" s="519"/>
      <c r="C505" s="519"/>
      <c r="U505" s="485"/>
      <c r="V505" s="485"/>
    </row>
    <row r="506" spans="2:22" s="510" customFormat="1" ht="12.75" customHeight="1" x14ac:dyDescent="0.25">
      <c r="B506" s="519"/>
      <c r="C506" s="519"/>
      <c r="U506" s="485"/>
      <c r="V506" s="485"/>
    </row>
    <row r="507" spans="2:22" s="510" customFormat="1" ht="12.75" customHeight="1" x14ac:dyDescent="0.25">
      <c r="B507" s="519"/>
      <c r="C507" s="519"/>
      <c r="U507" s="485"/>
      <c r="V507" s="485"/>
    </row>
    <row r="508" spans="2:22" s="510" customFormat="1" ht="12.75" customHeight="1" x14ac:dyDescent="0.25">
      <c r="B508" s="519"/>
      <c r="C508" s="519"/>
      <c r="U508" s="485"/>
      <c r="V508" s="485"/>
    </row>
    <row r="509" spans="2:22" s="510" customFormat="1" ht="12.75" customHeight="1" x14ac:dyDescent="0.25">
      <c r="B509" s="519"/>
      <c r="C509" s="519"/>
      <c r="U509" s="485"/>
      <c r="V509" s="485"/>
    </row>
    <row r="510" spans="2:22" s="510" customFormat="1" ht="12.75" customHeight="1" x14ac:dyDescent="0.25">
      <c r="B510" s="519"/>
      <c r="C510" s="519"/>
      <c r="U510" s="485"/>
      <c r="V510" s="485"/>
    </row>
    <row r="511" spans="2:22" s="510" customFormat="1" ht="12.75" customHeight="1" x14ac:dyDescent="0.25">
      <c r="B511" s="519"/>
      <c r="C511" s="519"/>
      <c r="U511" s="485"/>
      <c r="V511" s="485"/>
    </row>
    <row r="512" spans="2:22" s="510" customFormat="1" ht="12.75" customHeight="1" x14ac:dyDescent="0.25">
      <c r="B512" s="519"/>
      <c r="C512" s="519"/>
      <c r="U512" s="485"/>
      <c r="V512" s="485"/>
    </row>
    <row r="513" spans="2:22" s="510" customFormat="1" ht="12.75" customHeight="1" x14ac:dyDescent="0.25">
      <c r="B513" s="519"/>
      <c r="C513" s="519"/>
      <c r="U513" s="485"/>
      <c r="V513" s="485"/>
    </row>
    <row r="514" spans="2:22" s="510" customFormat="1" ht="12.75" customHeight="1" x14ac:dyDescent="0.25">
      <c r="B514" s="519"/>
      <c r="C514" s="519"/>
      <c r="U514" s="485"/>
      <c r="V514" s="485"/>
    </row>
    <row r="515" spans="2:22" s="510" customFormat="1" ht="12.75" customHeight="1" x14ac:dyDescent="0.25">
      <c r="B515" s="519"/>
      <c r="C515" s="519"/>
      <c r="U515" s="485"/>
      <c r="V515" s="485"/>
    </row>
    <row r="516" spans="2:22" s="510" customFormat="1" ht="12.75" customHeight="1" x14ac:dyDescent="0.25">
      <c r="B516" s="519"/>
      <c r="C516" s="519"/>
      <c r="U516" s="485"/>
      <c r="V516" s="485"/>
    </row>
    <row r="517" spans="2:22" s="510" customFormat="1" ht="12.75" customHeight="1" x14ac:dyDescent="0.25">
      <c r="B517" s="519"/>
      <c r="C517" s="519"/>
      <c r="U517" s="485"/>
      <c r="V517" s="485"/>
    </row>
    <row r="518" spans="2:22" s="510" customFormat="1" ht="12.75" customHeight="1" x14ac:dyDescent="0.25">
      <c r="B518" s="519"/>
      <c r="C518" s="519"/>
      <c r="U518" s="485"/>
      <c r="V518" s="485"/>
    </row>
    <row r="519" spans="2:22" s="510" customFormat="1" ht="12.75" customHeight="1" x14ac:dyDescent="0.25">
      <c r="B519" s="519"/>
      <c r="C519" s="519"/>
      <c r="U519" s="485"/>
      <c r="V519" s="485"/>
    </row>
    <row r="520" spans="2:22" s="510" customFormat="1" ht="12.75" customHeight="1" x14ac:dyDescent="0.25">
      <c r="B520" s="519"/>
      <c r="C520" s="519"/>
      <c r="U520" s="485"/>
      <c r="V520" s="485"/>
    </row>
    <row r="521" spans="2:22" s="510" customFormat="1" ht="12.75" customHeight="1" x14ac:dyDescent="0.25">
      <c r="B521" s="519"/>
      <c r="C521" s="519"/>
      <c r="U521" s="485"/>
      <c r="V521" s="485"/>
    </row>
    <row r="522" spans="2:22" s="510" customFormat="1" ht="12.75" customHeight="1" x14ac:dyDescent="0.25">
      <c r="B522" s="519"/>
      <c r="C522" s="519"/>
      <c r="U522" s="485"/>
      <c r="V522" s="485"/>
    </row>
    <row r="523" spans="2:22" s="510" customFormat="1" ht="12.75" customHeight="1" x14ac:dyDescent="0.25">
      <c r="B523" s="519"/>
      <c r="C523" s="519"/>
      <c r="U523" s="485"/>
      <c r="V523" s="485"/>
    </row>
    <row r="524" spans="2:22" s="510" customFormat="1" ht="12.75" customHeight="1" x14ac:dyDescent="0.25">
      <c r="B524" s="519"/>
      <c r="C524" s="519"/>
      <c r="U524" s="485"/>
      <c r="V524" s="485"/>
    </row>
    <row r="525" spans="2:22" s="510" customFormat="1" ht="12.75" customHeight="1" x14ac:dyDescent="0.25">
      <c r="B525" s="519"/>
      <c r="C525" s="519"/>
      <c r="U525" s="485"/>
      <c r="V525" s="485"/>
    </row>
    <row r="526" spans="2:22" s="510" customFormat="1" ht="12.75" customHeight="1" x14ac:dyDescent="0.25">
      <c r="B526" s="519"/>
      <c r="C526" s="519"/>
      <c r="U526" s="485"/>
      <c r="V526" s="485"/>
    </row>
    <row r="527" spans="2:22" s="510" customFormat="1" ht="12.75" customHeight="1" x14ac:dyDescent="0.25">
      <c r="B527" s="519"/>
      <c r="C527" s="519"/>
      <c r="U527" s="485"/>
      <c r="V527" s="485"/>
    </row>
    <row r="528" spans="2:22" s="510" customFormat="1" ht="12.75" customHeight="1" x14ac:dyDescent="0.25">
      <c r="B528" s="519"/>
      <c r="C528" s="519"/>
      <c r="U528" s="485"/>
      <c r="V528" s="485"/>
    </row>
    <row r="529" spans="2:22" s="510" customFormat="1" ht="12.75" customHeight="1" x14ac:dyDescent="0.25">
      <c r="B529" s="519"/>
      <c r="C529" s="519"/>
      <c r="U529" s="485"/>
      <c r="V529" s="485"/>
    </row>
    <row r="530" spans="2:22" s="510" customFormat="1" ht="12.75" customHeight="1" x14ac:dyDescent="0.25">
      <c r="B530" s="519"/>
      <c r="C530" s="519"/>
      <c r="U530" s="485"/>
      <c r="V530" s="485"/>
    </row>
    <row r="531" spans="2:22" s="510" customFormat="1" ht="12.75" customHeight="1" x14ac:dyDescent="0.25">
      <c r="B531" s="519"/>
      <c r="C531" s="519"/>
      <c r="U531" s="485"/>
      <c r="V531" s="485"/>
    </row>
    <row r="532" spans="2:22" s="510" customFormat="1" ht="12.75" customHeight="1" x14ac:dyDescent="0.25">
      <c r="B532" s="519"/>
      <c r="C532" s="519"/>
      <c r="U532" s="485"/>
      <c r="V532" s="485"/>
    </row>
    <row r="533" spans="2:22" s="510" customFormat="1" ht="12.75" customHeight="1" x14ac:dyDescent="0.25">
      <c r="B533" s="519"/>
      <c r="C533" s="519"/>
      <c r="U533" s="485"/>
      <c r="V533" s="485"/>
    </row>
    <row r="534" spans="2:22" s="510" customFormat="1" ht="12.75" customHeight="1" x14ac:dyDescent="0.25">
      <c r="B534" s="519"/>
      <c r="C534" s="519"/>
      <c r="U534" s="485"/>
      <c r="V534" s="485"/>
    </row>
    <row r="535" spans="2:22" s="510" customFormat="1" ht="12.75" customHeight="1" x14ac:dyDescent="0.25">
      <c r="B535" s="519"/>
      <c r="C535" s="519"/>
      <c r="U535" s="485"/>
      <c r="V535" s="485"/>
    </row>
    <row r="536" spans="2:22" s="510" customFormat="1" ht="12.75" customHeight="1" x14ac:dyDescent="0.25">
      <c r="B536" s="519"/>
      <c r="C536" s="519"/>
      <c r="U536" s="485"/>
      <c r="V536" s="485"/>
    </row>
    <row r="537" spans="2:22" s="510" customFormat="1" ht="12.75" customHeight="1" x14ac:dyDescent="0.25">
      <c r="B537" s="519"/>
      <c r="C537" s="519"/>
      <c r="U537" s="485"/>
      <c r="V537" s="485"/>
    </row>
    <row r="538" spans="2:22" s="510" customFormat="1" ht="12.75" customHeight="1" x14ac:dyDescent="0.25">
      <c r="B538" s="519"/>
      <c r="C538" s="519"/>
      <c r="U538" s="485"/>
      <c r="V538" s="485"/>
    </row>
    <row r="539" spans="2:22" s="510" customFormat="1" ht="12.75" customHeight="1" x14ac:dyDescent="0.25">
      <c r="B539" s="519"/>
      <c r="C539" s="519"/>
      <c r="U539" s="485"/>
      <c r="V539" s="485"/>
    </row>
    <row r="540" spans="2:22" s="510" customFormat="1" ht="12.75" customHeight="1" x14ac:dyDescent="0.25">
      <c r="B540" s="519"/>
      <c r="C540" s="519"/>
      <c r="U540" s="485"/>
      <c r="V540" s="485"/>
    </row>
    <row r="541" spans="2:22" s="510" customFormat="1" ht="12.75" customHeight="1" x14ac:dyDescent="0.25">
      <c r="B541" s="519"/>
      <c r="C541" s="519"/>
      <c r="U541" s="485"/>
      <c r="V541" s="485"/>
    </row>
    <row r="542" spans="2:22" s="510" customFormat="1" ht="12.75" customHeight="1" x14ac:dyDescent="0.25">
      <c r="B542" s="519"/>
      <c r="C542" s="519"/>
      <c r="U542" s="485"/>
      <c r="V542" s="485"/>
    </row>
    <row r="543" spans="2:22" s="510" customFormat="1" ht="12.75" customHeight="1" x14ac:dyDescent="0.25">
      <c r="B543" s="519"/>
      <c r="C543" s="519"/>
      <c r="U543" s="485"/>
      <c r="V543" s="485"/>
    </row>
    <row r="544" spans="2:22" s="510" customFormat="1" ht="12.75" customHeight="1" x14ac:dyDescent="0.25">
      <c r="B544" s="519"/>
      <c r="C544" s="519"/>
      <c r="U544" s="485"/>
      <c r="V544" s="485"/>
    </row>
    <row r="545" spans="2:22" s="510" customFormat="1" ht="12.75" customHeight="1" x14ac:dyDescent="0.25">
      <c r="B545" s="519"/>
      <c r="C545" s="519"/>
      <c r="U545" s="485"/>
      <c r="V545" s="485"/>
    </row>
    <row r="546" spans="2:22" s="510" customFormat="1" ht="12.75" customHeight="1" x14ac:dyDescent="0.25">
      <c r="B546" s="519"/>
      <c r="C546" s="519"/>
      <c r="U546" s="485"/>
      <c r="V546" s="485"/>
    </row>
    <row r="547" spans="2:22" s="510" customFormat="1" ht="12.75" customHeight="1" x14ac:dyDescent="0.25">
      <c r="B547" s="519"/>
      <c r="C547" s="519"/>
      <c r="U547" s="485"/>
      <c r="V547" s="485"/>
    </row>
    <row r="548" spans="2:22" s="510" customFormat="1" ht="12.75" customHeight="1" x14ac:dyDescent="0.25">
      <c r="B548" s="519"/>
      <c r="C548" s="519"/>
      <c r="U548" s="485"/>
      <c r="V548" s="485"/>
    </row>
    <row r="549" spans="2:22" s="510" customFormat="1" ht="12.75" customHeight="1" x14ac:dyDescent="0.25">
      <c r="B549" s="519"/>
      <c r="C549" s="519"/>
      <c r="U549" s="485"/>
      <c r="V549" s="485"/>
    </row>
    <row r="550" spans="2:22" s="510" customFormat="1" ht="12.75" customHeight="1" x14ac:dyDescent="0.25">
      <c r="B550" s="519"/>
      <c r="C550" s="519"/>
      <c r="U550" s="485"/>
      <c r="V550" s="485"/>
    </row>
    <row r="551" spans="2:22" s="510" customFormat="1" ht="12.75" customHeight="1" x14ac:dyDescent="0.25">
      <c r="B551" s="519"/>
      <c r="C551" s="519"/>
      <c r="U551" s="485"/>
      <c r="V551" s="485"/>
    </row>
    <row r="552" spans="2:22" s="510" customFormat="1" ht="12.75" customHeight="1" x14ac:dyDescent="0.25">
      <c r="B552" s="519"/>
      <c r="C552" s="519"/>
      <c r="U552" s="485"/>
      <c r="V552" s="485"/>
    </row>
    <row r="553" spans="2:22" s="510" customFormat="1" ht="12.75" customHeight="1" x14ac:dyDescent="0.25">
      <c r="B553" s="519"/>
      <c r="C553" s="519"/>
      <c r="U553" s="485"/>
      <c r="V553" s="485"/>
    </row>
    <row r="554" spans="2:22" s="510" customFormat="1" ht="12.75" customHeight="1" x14ac:dyDescent="0.25">
      <c r="B554" s="519"/>
      <c r="C554" s="519"/>
      <c r="U554" s="485"/>
      <c r="V554" s="485"/>
    </row>
    <row r="555" spans="2:22" s="510" customFormat="1" ht="12.75" customHeight="1" x14ac:dyDescent="0.25">
      <c r="B555" s="519"/>
      <c r="C555" s="519"/>
      <c r="U555" s="485"/>
      <c r="V555" s="485"/>
    </row>
    <row r="556" spans="2:22" s="510" customFormat="1" ht="12.75" customHeight="1" x14ac:dyDescent="0.25">
      <c r="B556" s="519"/>
      <c r="C556" s="519"/>
      <c r="U556" s="485"/>
      <c r="V556" s="485"/>
    </row>
    <row r="557" spans="2:22" s="510" customFormat="1" ht="12.75" customHeight="1" x14ac:dyDescent="0.25">
      <c r="B557" s="519"/>
      <c r="C557" s="519"/>
      <c r="U557" s="485"/>
      <c r="V557" s="485"/>
    </row>
    <row r="558" spans="2:22" s="510" customFormat="1" ht="12.75" customHeight="1" x14ac:dyDescent="0.25">
      <c r="B558" s="519"/>
      <c r="C558" s="519"/>
      <c r="U558" s="485"/>
      <c r="V558" s="485"/>
    </row>
    <row r="559" spans="2:22" s="510" customFormat="1" ht="12.75" customHeight="1" x14ac:dyDescent="0.25">
      <c r="B559" s="519"/>
      <c r="C559" s="519"/>
      <c r="U559" s="485"/>
      <c r="V559" s="485"/>
    </row>
    <row r="560" spans="2:22" s="510" customFormat="1" ht="12.75" customHeight="1" x14ac:dyDescent="0.25">
      <c r="B560" s="519"/>
      <c r="C560" s="519"/>
      <c r="U560" s="485"/>
      <c r="V560" s="485"/>
    </row>
    <row r="561" spans="2:22" s="510" customFormat="1" ht="12.75" customHeight="1" x14ac:dyDescent="0.25">
      <c r="B561" s="519"/>
      <c r="C561" s="519"/>
      <c r="U561" s="485"/>
      <c r="V561" s="485"/>
    </row>
    <row r="562" spans="2:22" s="510" customFormat="1" ht="12.75" customHeight="1" x14ac:dyDescent="0.25">
      <c r="B562" s="519"/>
      <c r="C562" s="519"/>
      <c r="U562" s="485"/>
      <c r="V562" s="485"/>
    </row>
    <row r="563" spans="2:22" s="510" customFormat="1" ht="12.75" customHeight="1" x14ac:dyDescent="0.25">
      <c r="B563" s="519"/>
      <c r="C563" s="519"/>
      <c r="U563" s="485"/>
      <c r="V563" s="485"/>
    </row>
    <row r="564" spans="2:22" s="510" customFormat="1" ht="12.75" customHeight="1" x14ac:dyDescent="0.25">
      <c r="B564" s="519"/>
      <c r="C564" s="519"/>
      <c r="U564" s="485"/>
      <c r="V564" s="485"/>
    </row>
    <row r="565" spans="2:22" s="510" customFormat="1" ht="12.75" customHeight="1" x14ac:dyDescent="0.25">
      <c r="B565" s="519"/>
      <c r="C565" s="519"/>
      <c r="U565" s="485"/>
      <c r="V565" s="485"/>
    </row>
    <row r="566" spans="2:22" s="510" customFormat="1" ht="12.75" customHeight="1" x14ac:dyDescent="0.25">
      <c r="B566" s="519"/>
      <c r="C566" s="519"/>
      <c r="U566" s="485"/>
      <c r="V566" s="485"/>
    </row>
    <row r="567" spans="2:22" s="510" customFormat="1" ht="12.75" customHeight="1" x14ac:dyDescent="0.25">
      <c r="B567" s="519"/>
      <c r="C567" s="519"/>
      <c r="U567" s="485"/>
      <c r="V567" s="485"/>
    </row>
    <row r="568" spans="2:22" s="510" customFormat="1" ht="12.75" customHeight="1" x14ac:dyDescent="0.25">
      <c r="B568" s="519"/>
      <c r="C568" s="519"/>
      <c r="U568" s="485"/>
      <c r="V568" s="485"/>
    </row>
    <row r="569" spans="2:22" s="510" customFormat="1" ht="12.75" customHeight="1" x14ac:dyDescent="0.25">
      <c r="B569" s="519"/>
      <c r="C569" s="519"/>
      <c r="U569" s="485"/>
      <c r="V569" s="485"/>
    </row>
    <row r="570" spans="2:22" s="510" customFormat="1" ht="12.75" customHeight="1" x14ac:dyDescent="0.25">
      <c r="B570" s="519"/>
      <c r="C570" s="519"/>
      <c r="U570" s="485"/>
      <c r="V570" s="485"/>
    </row>
    <row r="571" spans="2:22" s="510" customFormat="1" ht="12.75" customHeight="1" x14ac:dyDescent="0.25">
      <c r="B571" s="519"/>
      <c r="C571" s="519"/>
      <c r="U571" s="485"/>
      <c r="V571" s="485"/>
    </row>
    <row r="572" spans="2:22" s="510" customFormat="1" ht="12.75" customHeight="1" x14ac:dyDescent="0.25">
      <c r="B572" s="519"/>
      <c r="C572" s="519"/>
      <c r="U572" s="485"/>
      <c r="V572" s="485"/>
    </row>
    <row r="573" spans="2:22" s="510" customFormat="1" ht="12.75" customHeight="1" x14ac:dyDescent="0.25">
      <c r="B573" s="519"/>
      <c r="C573" s="519"/>
      <c r="U573" s="485"/>
      <c r="V573" s="485"/>
    </row>
    <row r="574" spans="2:22" s="510" customFormat="1" ht="12.75" customHeight="1" x14ac:dyDescent="0.25">
      <c r="B574" s="519"/>
      <c r="C574" s="519"/>
      <c r="U574" s="485"/>
      <c r="V574" s="485"/>
    </row>
    <row r="575" spans="2:22" s="510" customFormat="1" ht="12.75" customHeight="1" x14ac:dyDescent="0.25">
      <c r="B575" s="519"/>
      <c r="C575" s="519"/>
      <c r="U575" s="485"/>
      <c r="V575" s="485"/>
    </row>
    <row r="576" spans="2:22" s="510" customFormat="1" ht="12.75" customHeight="1" x14ac:dyDescent="0.25">
      <c r="B576" s="519"/>
      <c r="C576" s="519"/>
      <c r="U576" s="485"/>
      <c r="V576" s="485"/>
    </row>
    <row r="577" spans="2:22" s="510" customFormat="1" ht="12.75" customHeight="1" x14ac:dyDescent="0.25">
      <c r="B577" s="519"/>
      <c r="C577" s="519"/>
      <c r="U577" s="485"/>
      <c r="V577" s="485"/>
    </row>
    <row r="578" spans="2:22" s="510" customFormat="1" ht="12.75" customHeight="1" x14ac:dyDescent="0.25">
      <c r="B578" s="519"/>
      <c r="C578" s="519"/>
      <c r="U578" s="485"/>
      <c r="V578" s="485"/>
    </row>
    <row r="579" spans="2:22" s="510" customFormat="1" ht="12.75" customHeight="1" x14ac:dyDescent="0.25">
      <c r="B579" s="519"/>
      <c r="C579" s="519"/>
      <c r="U579" s="485"/>
      <c r="V579" s="485"/>
    </row>
    <row r="580" spans="2:22" s="510" customFormat="1" ht="12.75" customHeight="1" x14ac:dyDescent="0.25">
      <c r="B580" s="519"/>
      <c r="C580" s="519"/>
      <c r="U580" s="485"/>
      <c r="V580" s="485"/>
    </row>
    <row r="581" spans="2:22" s="510" customFormat="1" ht="12.75" customHeight="1" x14ac:dyDescent="0.25">
      <c r="B581" s="519"/>
      <c r="C581" s="519"/>
      <c r="U581" s="485"/>
      <c r="V581" s="485"/>
    </row>
    <row r="582" spans="2:22" s="510" customFormat="1" ht="12.75" customHeight="1" x14ac:dyDescent="0.25">
      <c r="B582" s="519"/>
      <c r="C582" s="519"/>
      <c r="U582" s="485"/>
      <c r="V582" s="485"/>
    </row>
    <row r="583" spans="2:22" s="510" customFormat="1" ht="12.75" customHeight="1" x14ac:dyDescent="0.25">
      <c r="B583" s="519"/>
      <c r="C583" s="519"/>
      <c r="U583" s="485"/>
      <c r="V583" s="485"/>
    </row>
    <row r="584" spans="2:22" s="510" customFormat="1" ht="12.75" customHeight="1" x14ac:dyDescent="0.25">
      <c r="B584" s="519"/>
      <c r="C584" s="519"/>
      <c r="U584" s="485"/>
      <c r="V584" s="485"/>
    </row>
    <row r="585" spans="2:22" s="510" customFormat="1" ht="12.75" customHeight="1" x14ac:dyDescent="0.25">
      <c r="B585" s="519"/>
      <c r="C585" s="519"/>
      <c r="U585" s="485"/>
      <c r="V585" s="485"/>
    </row>
    <row r="586" spans="2:22" s="510" customFormat="1" ht="12.75" customHeight="1" x14ac:dyDescent="0.25">
      <c r="B586" s="519"/>
      <c r="C586" s="519"/>
      <c r="U586" s="485"/>
      <c r="V586" s="485"/>
    </row>
    <row r="587" spans="2:22" s="510" customFormat="1" ht="12.75" customHeight="1" x14ac:dyDescent="0.25">
      <c r="B587" s="519"/>
      <c r="C587" s="519"/>
      <c r="U587" s="485"/>
      <c r="V587" s="485"/>
    </row>
    <row r="588" spans="2:22" s="510" customFormat="1" ht="12.75" customHeight="1" x14ac:dyDescent="0.25">
      <c r="B588" s="519"/>
      <c r="C588" s="519"/>
      <c r="U588" s="485"/>
      <c r="V588" s="485"/>
    </row>
    <row r="589" spans="2:22" s="510" customFormat="1" ht="12.75" customHeight="1" x14ac:dyDescent="0.25">
      <c r="B589" s="519"/>
      <c r="C589" s="519"/>
      <c r="U589" s="485"/>
      <c r="V589" s="485"/>
    </row>
    <row r="590" spans="2:22" s="510" customFormat="1" ht="12.75" customHeight="1" x14ac:dyDescent="0.25">
      <c r="B590" s="519"/>
      <c r="C590" s="519"/>
      <c r="U590" s="485"/>
      <c r="V590" s="485"/>
    </row>
    <row r="591" spans="2:22" s="510" customFormat="1" ht="12.75" customHeight="1" x14ac:dyDescent="0.25">
      <c r="B591" s="519"/>
      <c r="C591" s="519"/>
      <c r="U591" s="485"/>
      <c r="V591" s="485"/>
    </row>
    <row r="592" spans="2:22" s="510" customFormat="1" ht="12.75" customHeight="1" x14ac:dyDescent="0.25">
      <c r="B592" s="519"/>
      <c r="C592" s="519"/>
      <c r="U592" s="485"/>
      <c r="V592" s="485"/>
    </row>
    <row r="593" spans="2:22" s="510" customFormat="1" ht="12.75" customHeight="1" x14ac:dyDescent="0.25">
      <c r="B593" s="519"/>
      <c r="C593" s="519"/>
      <c r="U593" s="485"/>
      <c r="V593" s="485"/>
    </row>
    <row r="594" spans="2:22" s="510" customFormat="1" ht="12.75" customHeight="1" x14ac:dyDescent="0.25">
      <c r="B594" s="519"/>
      <c r="C594" s="519"/>
      <c r="U594" s="485"/>
      <c r="V594" s="485"/>
    </row>
    <row r="595" spans="2:22" s="510" customFormat="1" ht="12.75" customHeight="1" x14ac:dyDescent="0.25">
      <c r="B595" s="519"/>
      <c r="C595" s="519"/>
      <c r="U595" s="485"/>
      <c r="V595" s="485"/>
    </row>
    <row r="596" spans="2:22" s="510" customFormat="1" ht="12.75" customHeight="1" x14ac:dyDescent="0.25">
      <c r="B596" s="519"/>
      <c r="C596" s="519"/>
      <c r="U596" s="485"/>
      <c r="V596" s="485"/>
    </row>
    <row r="597" spans="2:22" s="510" customFormat="1" ht="12.75" customHeight="1" x14ac:dyDescent="0.25">
      <c r="B597" s="519"/>
      <c r="C597" s="519"/>
      <c r="U597" s="485"/>
      <c r="V597" s="485"/>
    </row>
    <row r="598" spans="2:22" s="510" customFormat="1" ht="12.75" customHeight="1" x14ac:dyDescent="0.25">
      <c r="B598" s="519"/>
      <c r="C598" s="519"/>
      <c r="U598" s="485"/>
      <c r="V598" s="485"/>
    </row>
    <row r="599" spans="2:22" s="510" customFormat="1" ht="12.75" customHeight="1" x14ac:dyDescent="0.25">
      <c r="B599" s="519"/>
      <c r="C599" s="519"/>
      <c r="U599" s="485"/>
      <c r="V599" s="485"/>
    </row>
    <row r="600" spans="2:22" s="510" customFormat="1" ht="12.75" customHeight="1" x14ac:dyDescent="0.25">
      <c r="B600" s="519"/>
      <c r="C600" s="519"/>
      <c r="U600" s="485"/>
      <c r="V600" s="485"/>
    </row>
    <row r="601" spans="2:22" s="510" customFormat="1" ht="12.75" customHeight="1" x14ac:dyDescent="0.25">
      <c r="B601" s="519"/>
      <c r="C601" s="519"/>
      <c r="U601" s="485"/>
      <c r="V601" s="485"/>
    </row>
    <row r="602" spans="2:22" s="510" customFormat="1" ht="12.75" customHeight="1" x14ac:dyDescent="0.25">
      <c r="B602" s="519"/>
      <c r="C602" s="519"/>
      <c r="U602" s="485"/>
      <c r="V602" s="485"/>
    </row>
    <row r="603" spans="2:22" s="510" customFormat="1" ht="12.75" customHeight="1" x14ac:dyDescent="0.25">
      <c r="B603" s="519"/>
      <c r="C603" s="519"/>
      <c r="U603" s="485"/>
      <c r="V603" s="485"/>
    </row>
    <row r="604" spans="2:22" s="510" customFormat="1" ht="12.75" customHeight="1" x14ac:dyDescent="0.25">
      <c r="B604" s="519"/>
      <c r="C604" s="519"/>
      <c r="U604" s="485"/>
      <c r="V604" s="485"/>
    </row>
    <row r="605" spans="2:22" s="510" customFormat="1" ht="12.75" customHeight="1" x14ac:dyDescent="0.25">
      <c r="B605" s="519"/>
      <c r="C605" s="519"/>
      <c r="U605" s="485"/>
      <c r="V605" s="485"/>
    </row>
    <row r="606" spans="2:22" s="510" customFormat="1" ht="12.75" customHeight="1" x14ac:dyDescent="0.25">
      <c r="B606" s="519"/>
      <c r="C606" s="519"/>
      <c r="U606" s="485"/>
      <c r="V606" s="485"/>
    </row>
    <row r="607" spans="2:22" s="510" customFormat="1" ht="12.75" customHeight="1" x14ac:dyDescent="0.25">
      <c r="B607" s="519"/>
      <c r="C607" s="519"/>
      <c r="U607" s="485"/>
      <c r="V607" s="485"/>
    </row>
    <row r="608" spans="2:22" s="510" customFormat="1" ht="12.75" customHeight="1" x14ac:dyDescent="0.25">
      <c r="B608" s="519"/>
      <c r="C608" s="519"/>
      <c r="U608" s="485"/>
      <c r="V608" s="485"/>
    </row>
    <row r="609" spans="2:22" s="510" customFormat="1" ht="12.75" customHeight="1" x14ac:dyDescent="0.25">
      <c r="B609" s="519"/>
      <c r="C609" s="519"/>
      <c r="U609" s="485"/>
      <c r="V609" s="485"/>
    </row>
    <row r="610" spans="2:22" s="510" customFormat="1" ht="12.75" customHeight="1" x14ac:dyDescent="0.25">
      <c r="B610" s="519"/>
      <c r="C610" s="519"/>
      <c r="U610" s="485"/>
      <c r="V610" s="485"/>
    </row>
    <row r="611" spans="2:22" s="510" customFormat="1" ht="12.75" customHeight="1" x14ac:dyDescent="0.25">
      <c r="B611" s="519"/>
      <c r="C611" s="519"/>
      <c r="U611" s="485"/>
      <c r="V611" s="485"/>
    </row>
    <row r="612" spans="2:22" s="510" customFormat="1" ht="12.75" customHeight="1" x14ac:dyDescent="0.25">
      <c r="B612" s="519"/>
      <c r="C612" s="519"/>
      <c r="U612" s="485"/>
      <c r="V612" s="485"/>
    </row>
    <row r="613" spans="2:22" s="510" customFormat="1" ht="12.75" customHeight="1" x14ac:dyDescent="0.25">
      <c r="B613" s="519"/>
      <c r="C613" s="519"/>
      <c r="U613" s="485"/>
      <c r="V613" s="485"/>
    </row>
    <row r="614" spans="2:22" s="510" customFormat="1" ht="12.75" customHeight="1" x14ac:dyDescent="0.25">
      <c r="B614" s="519"/>
      <c r="C614" s="519"/>
      <c r="U614" s="485"/>
      <c r="V614" s="485"/>
    </row>
    <row r="615" spans="2:22" s="510" customFormat="1" ht="12.75" customHeight="1" x14ac:dyDescent="0.25">
      <c r="B615" s="519"/>
      <c r="C615" s="519"/>
      <c r="U615" s="485"/>
      <c r="V615" s="485"/>
    </row>
    <row r="616" spans="2:22" s="510" customFormat="1" ht="12.75" customHeight="1" x14ac:dyDescent="0.25">
      <c r="B616" s="519"/>
      <c r="C616" s="519"/>
      <c r="U616" s="485"/>
      <c r="V616" s="485"/>
    </row>
    <row r="617" spans="2:22" ht="12.75" customHeight="1" x14ac:dyDescent="0.25"/>
    <row r="618" spans="2:22" ht="12.75" customHeight="1" x14ac:dyDescent="0.25"/>
    <row r="619" spans="2:22" ht="12.75" customHeight="1" x14ac:dyDescent="0.25"/>
    <row r="620" spans="2:22" ht="12.75" customHeight="1" x14ac:dyDescent="0.25"/>
    <row r="621" spans="2:22" ht="12.75" customHeight="1" x14ac:dyDescent="0.25"/>
    <row r="622" spans="2:22" ht="12.75" customHeight="1" x14ac:dyDescent="0.25"/>
    <row r="623" spans="2:22" ht="12.75" customHeight="1" x14ac:dyDescent="0.25"/>
    <row r="624" spans="2:22"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row r="1003" ht="12.75" customHeight="1" x14ac:dyDescent="0.25"/>
    <row r="1004" ht="12.75" customHeight="1" x14ac:dyDescent="0.25"/>
    <row r="1005" ht="12.75" customHeight="1" x14ac:dyDescent="0.25"/>
    <row r="1006" ht="12.75" customHeight="1" x14ac:dyDescent="0.25"/>
    <row r="1007" ht="12.75" customHeight="1" x14ac:dyDescent="0.25"/>
    <row r="1008" ht="12.75" customHeight="1" x14ac:dyDescent="0.25"/>
    <row r="1009" ht="12.75" customHeight="1" x14ac:dyDescent="0.25"/>
    <row r="1010" ht="12.75" customHeight="1" x14ac:dyDescent="0.25"/>
    <row r="1011" ht="12.75" customHeight="1" x14ac:dyDescent="0.25"/>
    <row r="1012" ht="12.75" customHeight="1" x14ac:dyDescent="0.25"/>
    <row r="1013" ht="12.75" customHeight="1" x14ac:dyDescent="0.25"/>
    <row r="1014" ht="12.75" customHeight="1" x14ac:dyDescent="0.25"/>
    <row r="1015" ht="12.75" customHeight="1" x14ac:dyDescent="0.25"/>
    <row r="1016" ht="12.75" customHeight="1" x14ac:dyDescent="0.25"/>
    <row r="1017" ht="12.75" customHeight="1" x14ac:dyDescent="0.25"/>
    <row r="1018" ht="12.75" customHeight="1" x14ac:dyDescent="0.25"/>
    <row r="1019" ht="12.75" customHeight="1" x14ac:dyDescent="0.25"/>
    <row r="1020" ht="12.75" customHeight="1" x14ac:dyDescent="0.25"/>
    <row r="1021" ht="12.75" customHeight="1" x14ac:dyDescent="0.25"/>
    <row r="1022" ht="12.75" customHeight="1" x14ac:dyDescent="0.25"/>
    <row r="1023" ht="12.75" customHeight="1" x14ac:dyDescent="0.25"/>
    <row r="1024" ht="12.75" customHeight="1" x14ac:dyDescent="0.25"/>
    <row r="1025" ht="12.75" customHeight="1" x14ac:dyDescent="0.25"/>
    <row r="1026" ht="12.75" customHeight="1" x14ac:dyDescent="0.25"/>
    <row r="1027" ht="12.75" customHeight="1" x14ac:dyDescent="0.25"/>
    <row r="1028" ht="12.75" customHeight="1" x14ac:dyDescent="0.25"/>
    <row r="1029" ht="12.75" customHeight="1" x14ac:dyDescent="0.25"/>
    <row r="1030" ht="12.75" customHeight="1" x14ac:dyDescent="0.25"/>
    <row r="1031" ht="12.75" customHeight="1" x14ac:dyDescent="0.25"/>
    <row r="1032" ht="12.75" customHeight="1" x14ac:dyDescent="0.25"/>
    <row r="1033" ht="12.75" customHeight="1" x14ac:dyDescent="0.25"/>
    <row r="1034" ht="12.75" customHeight="1" x14ac:dyDescent="0.25"/>
    <row r="1035" ht="12.75" customHeight="1" x14ac:dyDescent="0.25"/>
    <row r="1036" ht="12.75" customHeight="1" x14ac:dyDescent="0.25"/>
    <row r="1037" ht="12.75" customHeight="1" x14ac:dyDescent="0.25"/>
    <row r="1038" ht="12.75" customHeight="1" x14ac:dyDescent="0.25"/>
    <row r="1039" ht="12.75" customHeight="1" x14ac:dyDescent="0.25"/>
    <row r="1040" ht="12.75" customHeight="1" x14ac:dyDescent="0.25"/>
    <row r="1041" ht="12.75" customHeight="1" x14ac:dyDescent="0.25"/>
    <row r="1042" ht="12.75" customHeight="1" x14ac:dyDescent="0.25"/>
    <row r="1043" ht="12.75" customHeight="1" x14ac:dyDescent="0.25"/>
    <row r="1044" ht="12.75" customHeight="1" x14ac:dyDescent="0.25"/>
    <row r="1045" ht="12.75" customHeight="1" x14ac:dyDescent="0.25"/>
    <row r="1046" ht="12.75" customHeight="1" x14ac:dyDescent="0.25"/>
    <row r="1047" ht="12.75" customHeight="1" x14ac:dyDescent="0.25"/>
    <row r="1048" ht="12.75" customHeight="1" x14ac:dyDescent="0.25"/>
    <row r="1049" ht="12.75" customHeight="1" x14ac:dyDescent="0.25"/>
    <row r="1050" ht="12.75" customHeight="1" x14ac:dyDescent="0.25"/>
    <row r="1051" ht="12.75" customHeight="1" x14ac:dyDescent="0.25"/>
    <row r="1052" ht="12.75" customHeight="1" x14ac:dyDescent="0.25"/>
    <row r="1053" ht="12.75" customHeight="1" x14ac:dyDescent="0.25"/>
    <row r="1054" ht="12.75" customHeight="1" x14ac:dyDescent="0.25"/>
    <row r="1055" ht="12.75" customHeight="1" x14ac:dyDescent="0.25"/>
    <row r="1056" ht="12.75" customHeight="1" x14ac:dyDescent="0.25"/>
    <row r="1057" ht="12.75" customHeight="1" x14ac:dyDescent="0.25"/>
    <row r="1058" ht="12.75" customHeight="1" x14ac:dyDescent="0.25"/>
    <row r="1059" ht="12.75" customHeight="1" x14ac:dyDescent="0.25"/>
    <row r="1060" ht="12.75" customHeight="1" x14ac:dyDescent="0.25"/>
    <row r="1061" ht="12.75" customHeight="1" x14ac:dyDescent="0.25"/>
    <row r="1062" ht="12.75" customHeight="1" x14ac:dyDescent="0.25"/>
    <row r="1063" ht="12.75" customHeight="1" x14ac:dyDescent="0.25"/>
    <row r="1064" ht="12.75" customHeight="1" x14ac:dyDescent="0.25"/>
    <row r="1065" ht="12.75" customHeight="1" x14ac:dyDescent="0.25"/>
    <row r="1066" ht="12.75" customHeight="1" x14ac:dyDescent="0.25"/>
    <row r="1067" ht="12.75" customHeight="1" x14ac:dyDescent="0.25"/>
    <row r="1068" ht="12.75" customHeight="1" x14ac:dyDescent="0.25"/>
    <row r="1069" ht="12.75" customHeight="1" x14ac:dyDescent="0.25"/>
    <row r="1070" ht="12.75" customHeight="1" x14ac:dyDescent="0.25"/>
    <row r="1071" ht="12.75" customHeight="1" x14ac:dyDescent="0.25"/>
    <row r="1072" ht="12.75" customHeight="1" x14ac:dyDescent="0.25"/>
    <row r="1073" ht="12.75" customHeight="1" x14ac:dyDescent="0.25"/>
    <row r="1074" ht="12.75" customHeight="1" x14ac:dyDescent="0.25"/>
    <row r="1075" ht="12.75" customHeight="1" x14ac:dyDescent="0.25"/>
    <row r="1076" ht="12.75" customHeight="1" x14ac:dyDescent="0.25"/>
    <row r="1077" ht="12.75" customHeight="1" x14ac:dyDescent="0.25"/>
    <row r="1078" ht="12.75" customHeight="1" x14ac:dyDescent="0.25"/>
    <row r="1079" ht="12.75" customHeight="1" x14ac:dyDescent="0.25"/>
    <row r="1080" ht="12.75" customHeight="1" x14ac:dyDescent="0.25"/>
    <row r="1081" ht="12.75" customHeight="1" x14ac:dyDescent="0.25"/>
    <row r="1082" ht="12.75" customHeight="1" x14ac:dyDescent="0.25"/>
    <row r="1083" ht="12.75" customHeight="1" x14ac:dyDescent="0.25"/>
    <row r="1084" ht="12.75" customHeight="1" x14ac:dyDescent="0.25"/>
    <row r="1085" ht="12.75" customHeight="1" x14ac:dyDescent="0.25"/>
    <row r="1086" ht="12.75" customHeight="1" x14ac:dyDescent="0.25"/>
    <row r="1087" ht="12.75" customHeight="1" x14ac:dyDescent="0.25"/>
    <row r="1088" ht="12.75" customHeight="1" x14ac:dyDescent="0.25"/>
    <row r="1089" ht="12.75" customHeight="1" x14ac:dyDescent="0.25"/>
    <row r="1090" ht="12.75" customHeight="1" x14ac:dyDescent="0.25"/>
    <row r="1091" ht="12.75" customHeight="1" x14ac:dyDescent="0.25"/>
    <row r="1092" ht="12.75" customHeight="1" x14ac:dyDescent="0.25"/>
    <row r="1093" ht="12.75" customHeight="1" x14ac:dyDescent="0.25"/>
    <row r="1094" ht="12.75" customHeight="1" x14ac:dyDescent="0.25"/>
    <row r="1095" ht="12.75" customHeight="1" x14ac:dyDescent="0.25"/>
    <row r="1096" ht="12.75" customHeight="1" x14ac:dyDescent="0.25"/>
    <row r="1097" ht="12.75" customHeight="1" x14ac:dyDescent="0.25"/>
    <row r="1098" ht="12.75" customHeight="1" x14ac:dyDescent="0.25"/>
    <row r="1099" ht="12.75" customHeight="1" x14ac:dyDescent="0.25"/>
    <row r="1100" ht="12.75" customHeight="1" x14ac:dyDescent="0.25"/>
    <row r="1101" ht="12.75" customHeight="1" x14ac:dyDescent="0.25"/>
    <row r="1102" ht="12.75" customHeight="1" x14ac:dyDescent="0.25"/>
    <row r="1103" ht="12.75" customHeight="1" x14ac:dyDescent="0.25"/>
    <row r="1104" ht="12.75" customHeight="1" x14ac:dyDescent="0.25"/>
    <row r="1105" ht="12.75" customHeight="1" x14ac:dyDescent="0.25"/>
    <row r="1106" ht="12.75" customHeight="1" x14ac:dyDescent="0.25"/>
    <row r="1107" ht="12.75" customHeight="1" x14ac:dyDescent="0.25"/>
    <row r="1108" ht="12.75" customHeight="1" x14ac:dyDescent="0.25"/>
    <row r="1109" ht="12.75" customHeight="1" x14ac:dyDescent="0.25"/>
    <row r="1110" ht="12.75" customHeight="1" x14ac:dyDescent="0.25"/>
    <row r="1111" ht="12.75" customHeight="1" x14ac:dyDescent="0.25"/>
    <row r="1112" ht="12.75" customHeight="1" x14ac:dyDescent="0.25"/>
    <row r="1113" ht="12.75" customHeight="1" x14ac:dyDescent="0.25"/>
    <row r="1114" ht="12.75" customHeight="1" x14ac:dyDescent="0.25"/>
    <row r="1115" ht="12.75" customHeight="1" x14ac:dyDescent="0.25"/>
    <row r="1116" ht="12.75" customHeight="1" x14ac:dyDescent="0.25"/>
    <row r="1117" ht="12.75" customHeight="1" x14ac:dyDescent="0.25"/>
    <row r="1118" ht="12.75" customHeight="1" x14ac:dyDescent="0.25"/>
    <row r="1119" ht="12.75" customHeight="1" x14ac:dyDescent="0.25"/>
    <row r="1120" ht="12.75" customHeight="1" x14ac:dyDescent="0.25"/>
    <row r="1121" ht="12.75" customHeight="1" x14ac:dyDescent="0.25"/>
    <row r="1122" ht="12.75" customHeight="1" x14ac:dyDescent="0.25"/>
    <row r="1123" ht="12.75" customHeight="1" x14ac:dyDescent="0.25"/>
    <row r="1124" ht="12.75" customHeight="1" x14ac:dyDescent="0.25"/>
    <row r="1125" ht="12.75" customHeight="1" x14ac:dyDescent="0.25"/>
    <row r="1126" ht="12.75" customHeight="1" x14ac:dyDescent="0.25"/>
    <row r="1127" ht="12.75" customHeight="1" x14ac:dyDescent="0.25"/>
    <row r="1128" ht="12.75" customHeight="1" x14ac:dyDescent="0.25"/>
    <row r="1129" ht="12.75" customHeight="1" x14ac:dyDescent="0.25"/>
    <row r="1130" ht="12.75" customHeight="1" x14ac:dyDescent="0.25"/>
    <row r="1131" ht="12.75" customHeight="1" x14ac:dyDescent="0.25"/>
    <row r="1132" ht="12.75" customHeight="1" x14ac:dyDescent="0.25"/>
    <row r="1133" ht="12.75" customHeight="1" x14ac:dyDescent="0.25"/>
    <row r="1134" ht="12.75" customHeight="1" x14ac:dyDescent="0.25"/>
    <row r="1135" ht="12.75" customHeight="1" x14ac:dyDescent="0.25"/>
    <row r="1136" ht="12.75" customHeight="1" x14ac:dyDescent="0.25"/>
    <row r="1137" ht="12.75" customHeight="1" x14ac:dyDescent="0.25"/>
    <row r="1138" ht="12.75" customHeight="1" x14ac:dyDescent="0.25"/>
    <row r="1139" ht="12.75" customHeight="1" x14ac:dyDescent="0.25"/>
    <row r="1140" ht="12.75" customHeight="1" x14ac:dyDescent="0.25"/>
    <row r="1141" ht="12.75" customHeight="1" x14ac:dyDescent="0.25"/>
    <row r="1142" ht="12.75" customHeight="1" x14ac:dyDescent="0.25"/>
    <row r="1143" ht="12.75" customHeight="1" x14ac:dyDescent="0.25"/>
    <row r="1144" ht="12.75" customHeight="1" x14ac:dyDescent="0.25"/>
    <row r="1145" ht="12.75" customHeight="1" x14ac:dyDescent="0.25"/>
    <row r="1146" ht="12.75" customHeight="1" x14ac:dyDescent="0.25"/>
    <row r="1147" ht="12.75" customHeight="1" x14ac:dyDescent="0.25"/>
    <row r="1148" ht="12.75" customHeight="1" x14ac:dyDescent="0.25"/>
    <row r="1149" ht="12.75" customHeight="1" x14ac:dyDescent="0.25"/>
    <row r="1150" ht="12.75" customHeight="1" x14ac:dyDescent="0.25"/>
    <row r="1151" ht="12.75" customHeight="1" x14ac:dyDescent="0.25"/>
    <row r="1152" ht="12.75" customHeight="1" x14ac:dyDescent="0.25"/>
    <row r="1153" ht="12.75" customHeight="1" x14ac:dyDescent="0.25"/>
    <row r="1154" ht="12.75" customHeight="1" x14ac:dyDescent="0.25"/>
    <row r="1155" ht="12.75" customHeight="1" x14ac:dyDescent="0.25"/>
    <row r="1156" ht="12.75" customHeight="1" x14ac:dyDescent="0.25"/>
    <row r="1157" ht="12.75" customHeight="1" x14ac:dyDescent="0.25"/>
    <row r="1158" ht="12.75" customHeight="1" x14ac:dyDescent="0.25"/>
    <row r="1159" ht="12.75" customHeight="1" x14ac:dyDescent="0.25"/>
    <row r="1160" ht="12.75" customHeight="1" x14ac:dyDescent="0.25"/>
    <row r="1161" ht="12.75" customHeight="1" x14ac:dyDescent="0.25"/>
    <row r="1162" ht="12.75" customHeight="1" x14ac:dyDescent="0.25"/>
    <row r="1163" ht="12.75" customHeight="1" x14ac:dyDescent="0.25"/>
    <row r="1164" ht="12.75" customHeight="1" x14ac:dyDescent="0.25"/>
    <row r="1165" ht="12.75" customHeight="1" x14ac:dyDescent="0.25"/>
    <row r="1166" ht="12.75" customHeight="1" x14ac:dyDescent="0.25"/>
    <row r="1167" ht="12.75" customHeight="1" x14ac:dyDescent="0.25"/>
    <row r="1168" ht="12.75" customHeight="1" x14ac:dyDescent="0.25"/>
    <row r="1169" ht="12.75" customHeight="1" x14ac:dyDescent="0.25"/>
    <row r="1170" ht="12.75" customHeight="1" x14ac:dyDescent="0.25"/>
    <row r="1171" ht="12.75" customHeight="1" x14ac:dyDescent="0.25"/>
    <row r="1172" ht="12.75" customHeight="1" x14ac:dyDescent="0.25"/>
    <row r="1173" ht="12.75" customHeight="1" x14ac:dyDescent="0.25"/>
    <row r="1174" ht="12.75" customHeight="1" x14ac:dyDescent="0.25"/>
    <row r="1175" ht="12.75" customHeight="1" x14ac:dyDescent="0.25"/>
    <row r="1176" ht="12.75" customHeight="1" x14ac:dyDescent="0.25"/>
    <row r="1177" ht="12.75" customHeight="1" x14ac:dyDescent="0.25"/>
    <row r="1178" ht="12.75" customHeight="1" x14ac:dyDescent="0.25"/>
    <row r="1179" ht="12.75" customHeight="1" x14ac:dyDescent="0.25"/>
    <row r="1180" ht="12.75" customHeight="1" x14ac:dyDescent="0.25"/>
    <row r="1181" ht="12.75" customHeight="1" x14ac:dyDescent="0.25"/>
    <row r="1182" ht="12.75" customHeight="1" x14ac:dyDescent="0.25"/>
    <row r="1183" ht="12.75" customHeight="1" x14ac:dyDescent="0.25"/>
    <row r="1184" ht="12.75" customHeight="1" x14ac:dyDescent="0.25"/>
    <row r="1185" ht="12.75" customHeight="1" x14ac:dyDescent="0.25"/>
    <row r="1186" ht="12.75" customHeight="1" x14ac:dyDescent="0.25"/>
    <row r="1187" ht="12.75" customHeight="1" x14ac:dyDescent="0.25"/>
    <row r="1188" ht="12.75" customHeight="1" x14ac:dyDescent="0.25"/>
    <row r="1189" ht="12.75" customHeight="1" x14ac:dyDescent="0.25"/>
    <row r="1190" ht="12.75" customHeight="1" x14ac:dyDescent="0.25"/>
    <row r="1191" ht="12.75" customHeight="1" x14ac:dyDescent="0.25"/>
    <row r="1192" ht="12.75" customHeight="1" x14ac:dyDescent="0.25"/>
    <row r="1193" ht="12.75" customHeight="1" x14ac:dyDescent="0.25"/>
    <row r="1194" ht="12.75" customHeight="1" x14ac:dyDescent="0.25"/>
    <row r="1195" ht="12.75" customHeight="1" x14ac:dyDescent="0.25"/>
    <row r="1196" ht="12.75" customHeight="1" x14ac:dyDescent="0.25"/>
    <row r="1197" ht="12.75" customHeight="1" x14ac:dyDescent="0.25"/>
    <row r="1198" ht="12.75" customHeight="1" x14ac:dyDescent="0.25"/>
    <row r="1199" ht="12.75" customHeight="1" x14ac:dyDescent="0.25"/>
    <row r="1200" ht="12.75" customHeight="1" x14ac:dyDescent="0.25"/>
    <row r="1201" ht="12.75" customHeight="1" x14ac:dyDescent="0.25"/>
    <row r="1202" ht="12.75" customHeight="1" x14ac:dyDescent="0.25"/>
    <row r="1203" ht="12.75" customHeight="1" x14ac:dyDescent="0.25"/>
    <row r="1204" ht="12.75" customHeight="1" x14ac:dyDescent="0.25"/>
    <row r="1205" ht="12.75" customHeight="1" x14ac:dyDescent="0.25"/>
    <row r="1206" ht="12.75" customHeight="1" x14ac:dyDescent="0.25"/>
    <row r="1207" ht="12.75" customHeight="1" x14ac:dyDescent="0.25"/>
    <row r="1208" ht="12.75" customHeight="1" x14ac:dyDescent="0.25"/>
    <row r="1209" ht="12.75" customHeight="1" x14ac:dyDescent="0.25"/>
    <row r="1210" ht="12.75" customHeight="1" x14ac:dyDescent="0.25"/>
    <row r="1211" ht="12.75" customHeight="1" x14ac:dyDescent="0.25"/>
    <row r="1212" ht="12.75" customHeight="1" x14ac:dyDescent="0.25"/>
    <row r="1213" ht="12.75" customHeight="1" x14ac:dyDescent="0.25"/>
    <row r="1214" ht="12.75" customHeight="1" x14ac:dyDescent="0.25"/>
    <row r="1215" ht="12.75" customHeight="1" x14ac:dyDescent="0.25"/>
    <row r="1216" ht="12.75" customHeight="1" x14ac:dyDescent="0.25"/>
    <row r="1217" ht="12.75" customHeight="1" x14ac:dyDescent="0.25"/>
    <row r="1218" ht="12.75" customHeight="1" x14ac:dyDescent="0.25"/>
    <row r="1219" ht="12.75" customHeight="1" x14ac:dyDescent="0.25"/>
    <row r="1220" ht="12.75" customHeight="1" x14ac:dyDescent="0.25"/>
    <row r="1221" ht="12.75" customHeight="1" x14ac:dyDescent="0.25"/>
    <row r="1222" ht="12.75" customHeight="1" x14ac:dyDescent="0.25"/>
    <row r="1223" ht="12.75" customHeight="1" x14ac:dyDescent="0.25"/>
    <row r="1224" ht="12.75" customHeight="1" x14ac:dyDescent="0.25"/>
    <row r="1225" ht="12.75" customHeight="1" x14ac:dyDescent="0.25"/>
    <row r="1226" ht="12.75" customHeight="1" x14ac:dyDescent="0.25"/>
    <row r="1227" ht="12.75" customHeight="1" x14ac:dyDescent="0.25"/>
    <row r="1228" ht="12.75" customHeight="1" x14ac:dyDescent="0.25"/>
    <row r="1229" ht="12.75" customHeight="1" x14ac:dyDescent="0.25"/>
    <row r="1230" ht="12.75" customHeight="1" x14ac:dyDescent="0.25"/>
    <row r="1231" ht="12.75" customHeight="1" x14ac:dyDescent="0.25"/>
    <row r="1232" ht="12.75" customHeight="1" x14ac:dyDescent="0.25"/>
    <row r="1233" ht="12.75" customHeight="1" x14ac:dyDescent="0.25"/>
    <row r="1234" ht="12.75" customHeight="1" x14ac:dyDescent="0.25"/>
    <row r="1235" ht="12.75" customHeight="1" x14ac:dyDescent="0.25"/>
    <row r="1236" ht="12.75" customHeight="1" x14ac:dyDescent="0.25"/>
    <row r="1237" ht="12.75" customHeight="1" x14ac:dyDescent="0.25"/>
    <row r="1238" ht="12.75" customHeight="1" x14ac:dyDescent="0.25"/>
    <row r="1239" ht="12.75" customHeight="1" x14ac:dyDescent="0.25"/>
    <row r="1240" ht="12.75" customHeight="1" x14ac:dyDescent="0.25"/>
    <row r="1241" ht="12.75" customHeight="1" x14ac:dyDescent="0.25"/>
    <row r="1242" ht="12.75" customHeight="1" x14ac:dyDescent="0.25"/>
    <row r="1243" ht="12.75" customHeight="1" x14ac:dyDescent="0.25"/>
    <row r="1244" ht="12.75" customHeight="1" x14ac:dyDescent="0.25"/>
    <row r="1245" ht="12.75" customHeight="1" x14ac:dyDescent="0.25"/>
    <row r="1246" ht="12.75" customHeight="1" x14ac:dyDescent="0.25"/>
  </sheetData>
  <sheetProtection sheet="1" formatCells="0" formatColumns="0" formatRows="0" insertColumns="0" insertRows="0" insertHyperlinks="0" deleteColumns="0" deleteRows="0" sort="0" autoFilter="0" pivotTables="0"/>
  <mergeCells count="2">
    <mergeCell ref="P70:Q70"/>
    <mergeCell ref="L313:L314"/>
  </mergeCells>
  <conditionalFormatting sqref="D287:O287">
    <cfRule type="cellIs" dxfId="4" priority="10" operator="lessThan">
      <formula>0</formula>
    </cfRule>
  </conditionalFormatting>
  <conditionalFormatting sqref="I193">
    <cfRule type="expression" dxfId="3" priority="3">
      <formula>"Parametros!$B$13=""Junio-Diciembre"""</formula>
    </cfRule>
  </conditionalFormatting>
  <conditionalFormatting sqref="J295">
    <cfRule type="expression" dxfId="2" priority="2">
      <formula>J2="SI"</formula>
    </cfRule>
  </conditionalFormatting>
  <conditionalFormatting sqref="K295">
    <cfRule type="expression" dxfId="1" priority="1">
      <formula>J2="NO"</formula>
    </cfRule>
  </conditionalFormatting>
  <conditionalFormatting sqref="R314">
    <cfRule type="cellIs" dxfId="0" priority="8" operator="lessThan">
      <formula>0</formula>
    </cfRule>
  </conditionalFormatting>
  <dataValidations count="7">
    <dataValidation operator="equal" allowBlank="1" showErrorMessage="1" sqref="O1" xr:uid="{00000000-0002-0000-0100-000000000000}"/>
    <dataValidation type="decimal" operator="lessThanOrEqual" allowBlank="1" showInputMessage="1" showErrorMessage="1" errorTitle="NO PUEDE SUPERAR EL LIMITE" error="LIMITE S/ ART 7º RG AFIP 4003." sqref="D302:Q302" xr:uid="{00000000-0002-0000-0100-000001000000}">
      <formula1>D306</formula1>
    </dataValidation>
    <dataValidation type="list" operator="equal" allowBlank="1" showInputMessage="1" showErrorMessage="1" sqref="D2:O2" xr:uid="{A3FF8FD2-68F1-430E-8605-EEEC919009A9}">
      <formula1>"SI,NO"</formula1>
    </dataValidation>
    <dataValidation type="list" allowBlank="1" showInputMessage="1" showErrorMessage="1" sqref="C24 C28 C12:C18" xr:uid="{00000000-0002-0000-0100-000003000000}">
      <formula1>"R,NR"</formula1>
    </dataValidation>
    <dataValidation type="list" allowBlank="1" showInputMessage="1" showErrorMessage="1" sqref="Q308" xr:uid="{00000000-0002-0000-0100-000004000000}">
      <formula1>"SI,NO"</formula1>
    </dataValidation>
    <dataValidation operator="equal" allowBlank="1" showInputMessage="1" showErrorMessage="1" sqref="D3:O3" xr:uid="{6EBB84FD-2C72-4C0F-9CC7-B7EFFCD8A109}"/>
    <dataValidation type="list" allowBlank="1" showInputMessage="1" showErrorMessage="1" sqref="B16:B18 B32:B35 B47:B49 B61:B62" xr:uid="{4B361DD2-6330-4B86-9DDA-54D7819E7B69}">
      <formula1>"H,NH"</formula1>
    </dataValidation>
  </dataValidations>
  <printOptions horizontalCentered="1" verticalCentered="1"/>
  <pageMargins left="0" right="0" top="0.196527777777778" bottom="0.196527777777778" header="0.511811023622047" footer="0.511811023622047"/>
  <pageSetup paperSize="9" scale="58" orientation="landscape"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FEFDE-EB44-460C-91AA-AF02CD2F7E26}">
  <dimension ref="C1"/>
  <sheetViews>
    <sheetView workbookViewId="0"/>
  </sheetViews>
  <sheetFormatPr baseColWidth="10" defaultRowHeight="13.2" x14ac:dyDescent="0.25"/>
  <cols>
    <col min="1" max="2" width="11.5546875" style="155"/>
    <col min="3" max="3" width="11.5546875" style="154"/>
    <col min="4" max="16384" width="11.5546875" style="155"/>
  </cols>
  <sheetData/>
  <sheetProtection formatCells="0" formatColumns="0" formatRows="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F039C-D9E3-44B1-925C-68E8FF0C0C9E}">
  <dimension ref="A1"/>
  <sheetViews>
    <sheetView workbookViewId="0"/>
  </sheetViews>
  <sheetFormatPr baseColWidth="10" defaultRowHeight="13.2"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40351-718B-4A40-8F92-F579160E8BCE}">
  <dimension ref="A1"/>
  <sheetViews>
    <sheetView workbookViewId="0"/>
  </sheetViews>
  <sheetFormatPr baseColWidth="10"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38</TotalTime>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Parametros</vt:lpstr>
      <vt:lpstr>Tablas</vt:lpstr>
      <vt:lpstr>Deducciones</vt:lpstr>
      <vt:lpstr>Ingresos y Liquidacion</vt:lpstr>
      <vt:lpstr>F.1359 vista previa</vt:lpstr>
      <vt:lpstr>txt F.1359</vt:lpstr>
      <vt:lpstr>F.1359 Generado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Dumenes Teresa</dc:creator>
  <cp:lastModifiedBy>Leandro Plano</cp:lastModifiedBy>
  <cp:revision>10</cp:revision>
  <cp:lastPrinted>2023-12-31T01:21:43Z</cp:lastPrinted>
  <dcterms:created xsi:type="dcterms:W3CDTF">2016-12-28T15:09:01Z</dcterms:created>
  <dcterms:modified xsi:type="dcterms:W3CDTF">2024-10-11T03:49:07Z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ase">
    <vt:bool>false</vt:bool>
  </property>
  <property fmtid="{D5CDD505-2E9C-101B-9397-08002B2CF9AE}" pid="3" name="ComplianceAssetId">
    <vt:lpwstr/>
  </property>
  <property fmtid="{D5CDD505-2E9C-101B-9397-08002B2CF9AE}" pid="4" name="ContentTypeId">
    <vt:lpwstr>0x01010090136FBC6DA54540B8BE386C6155171F</vt:lpwstr>
  </property>
  <property fmtid="{D5CDD505-2E9C-101B-9397-08002B2CF9AE}" pid="5" name="Order">
    <vt:r8>51685000</vt:r8>
  </property>
  <property fmtid="{D5CDD505-2E9C-101B-9397-08002B2CF9AE}" pid="6" name="TemplateUrl">
    <vt:lpwstr/>
  </property>
  <property fmtid="{D5CDD505-2E9C-101B-9397-08002B2CF9AE}" pid="7" name="_ExtendedDescription">
    <vt:lpwstr/>
  </property>
  <property fmtid="{D5CDD505-2E9C-101B-9397-08002B2CF9AE}" pid="8" name="xd_ProgID">
    <vt:lpwstr/>
  </property>
  <property fmtid="{D5CDD505-2E9C-101B-9397-08002B2CF9AE}" pid="9" name="xd_Signature">
    <vt:bool>false</vt:bool>
  </property>
</Properties>
</file>